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5.xml" ContentType="application/vnd.openxmlformats-officedocument.drawing+xml"/>
  <Override PartName="/xl/customProperty11.bin" ContentType="application/vnd.openxmlformats-officedocument.spreadsheetml.customProperty"/>
  <Override PartName="/xl/drawings/drawing6.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DieseArbeitsmappe" defaultThemeVersion="124226"/>
  <mc:AlternateContent xmlns:mc="http://schemas.openxmlformats.org/markup-compatibility/2006">
    <mc:Choice Requires="x15">
      <x15ac:absPath xmlns:x15ac="http://schemas.microsoft.com/office/spreadsheetml/2010/11/ac" url="https://schoeck-my.sharepoint.com/personal/tim_badalie_schoeck_com/Documents/Desktop/"/>
    </mc:Choice>
  </mc:AlternateContent>
  <xr:revisionPtr revIDLastSave="3" documentId="8_{E834AFA8-CC23-4066-BFDF-1F5E7E386011}" xr6:coauthVersionLast="47" xr6:coauthVersionMax="47" xr10:uidLastSave="{5990D3AD-2854-49E8-A21B-353A9FEE5542}"/>
  <workbookProtection workbookAlgorithmName="SHA-512" workbookHashValue="Oy0/9wQd5Sujtxs2JMiB9zx1G8aViDl27dI4ljchnWLeVfF49DGpZ1vpIoQaAv8eq8Kt6HtEzmQut39yzQ9N4w==" workbookSaltValue="gKsiEWx2FZFieXpVo70B/A==" workbookSpinCount="100000" lockStructure="1"/>
  <bookViews>
    <workbookView xWindow="-120" yWindow="-120" windowWidth="29040" windowHeight="15840" firstSheet="2" activeTab="2" xr2:uid="{119CE64F-4875-4846-BAD5-985DFA5A9A97}"/>
  </bookViews>
  <sheets>
    <sheet name="Bilder" sheetId="25" state="hidden" r:id="rId1"/>
    <sheet name="Skizzen" sheetId="36" state="hidden" r:id="rId2"/>
    <sheet name="PRZEGLAD" sheetId="11" r:id="rId3"/>
    <sheet name="Texte_Sprachen" sheetId="34" state="hidden" r:id="rId4"/>
    <sheet name="Fehlersuche" sheetId="35" state="hidden" r:id="rId5"/>
    <sheet name="BIEG - DANE" sheetId="2" r:id="rId6"/>
    <sheet name="Eingabekonfig_Treppenlauf" sheetId="28" state="hidden" r:id="rId7"/>
    <sheet name="Lastermittlung_Lauf" sheetId="32" state="hidden" r:id="rId8"/>
    <sheet name="Berechnung_TR_Lauf" sheetId="27" state="hidden" r:id="rId9"/>
    <sheet name="BIEG - WYNIKI OBLICZEN" sheetId="15" r:id="rId10"/>
    <sheet name="SPOCZNIK - DANE" sheetId="29" r:id="rId11"/>
    <sheet name="Lastermittlung_Podest" sheetId="33" state="hidden" r:id="rId12"/>
    <sheet name="Berechnung_Podest" sheetId="30" state="hidden" r:id="rId13"/>
    <sheet name="SPOCZNIK - WYNIKI OBLICZEN" sheetId="31" r:id="rId14"/>
  </sheets>
  <definedNames>
    <definedName name="bild1">INDIRECT("Bilder!D"&amp;Bilder!$G$3)</definedName>
    <definedName name="bild2">INDIRECT("Bilder!D"&amp;Bilder!$H$3)</definedName>
    <definedName name="bild3">INDIRECT("Bilder!D"&amp;Bilder!$I$3)</definedName>
    <definedName name="bild4">INDIRECT("Bilder!D"&amp;Bilder!$J$3)</definedName>
    <definedName name="bild5">INDIRECT("Bilder!D"&amp;Bilder!$K$3)</definedName>
    <definedName name="bild6">INDIRECT("Bilder!D"&amp;Bilder!#REF!)</definedName>
    <definedName name="bild7">INDIRECT("Bilder!D"&amp;Bilder!#REF!)</definedName>
    <definedName name="BildauswahlLauf">INDIRECT("Skizzen!"&amp;Skizzen!$N$2)</definedName>
    <definedName name="BildauswahlPodest">INDIRECT("Skizzen!"&amp;Skizzen!$N$3)</definedName>
    <definedName name="_xlnm.Print_Area" localSheetId="5">'BIEG - DANE'!$A$1:$U$59</definedName>
    <definedName name="_xlnm.Print_Area" localSheetId="9">'BIEG - WYNIKI OBLICZEN'!$A$1:$J$147</definedName>
    <definedName name="_xlnm.Print_Area" localSheetId="2">PRZEGLAD!$A$1:$M$44</definedName>
    <definedName name="_xlnm.Print_Area" localSheetId="10">'SPOCZNIK - DANE'!$A$1:$U$59</definedName>
    <definedName name="_xlnm.Print_Area" localSheetId="13">'SPOCZNIK - WYNIKI OBLICZEN'!$A$1:$J$144</definedName>
    <definedName name="Fehler">Bilder!$C$12:$D$12</definedName>
    <definedName name="lFhPZ">INDIRECT(Skizzen!$D$3)</definedName>
    <definedName name="lFsPZ">INDIRECT(Skizzen!$C$3)</definedName>
    <definedName name="lThPZ">INDIRECT(Skizzen!$A$3)</definedName>
    <definedName name="lTsPZ">INDIRECT(Skizzen!$B$3)</definedName>
    <definedName name="Podest">Bilder!$C$11:$D$11</definedName>
    <definedName name="PodestBild">INDIRECT("Bilder!$D"&amp;Bilder!$K$3)</definedName>
    <definedName name="Print_Area" localSheetId="9">'BIEG - WYNIKI OBLICZEN'!$A$2:$I$140</definedName>
    <definedName name="Print_Area" localSheetId="13">'SPOCZNIK - WYNIKI OBLICZEN'!$A$2:$I$134</definedName>
    <definedName name="Q">"Grafik 11"</definedName>
    <definedName name="Treppenlauf">Bilder!$C$10:$D$10</definedName>
    <definedName name="TreppenlaufBild">INDIRECT("Bilder!$D"&amp;Bilder!$J$3)</definedName>
    <definedName name="TreppenlaufStart">'BIEG - DANE'!$A$1</definedName>
    <definedName name="Tronsole_BZ">"Grafik 10"</definedName>
    <definedName name="Tronsole_T">"Picture 3"</definedName>
    <definedName name="uBoF">INDIRECT(Skizzen!$B$2)</definedName>
    <definedName name="uBoPZ">INDIRECT(Skizzen!$C$2)</definedName>
    <definedName name="uBoT">INDIRECT(Skizzen!$J$2)</definedName>
    <definedName name="uFoF">INDIRECT(Skizzen!$F$2)</definedName>
    <definedName name="uFoPZ">INDIRECT(Skizzen!$E$2)</definedName>
    <definedName name="uFoT">INDIRECT(Skizzen!$G$2)</definedName>
    <definedName name="uPZoF">INDIRECT(Skizzen!$A$2)</definedName>
    <definedName name="uPZoPZ">INDIRECT(Skizzen!$D$2)</definedName>
    <definedName name="uPZoT">INDIRECT(Skizzen!$I$2)</definedName>
    <definedName name="uToF">INDIRECT(Skizzen!$L$2)</definedName>
    <definedName name="uToPZ">INDIRECT(Skizzen!$H$2)</definedName>
    <definedName name="uToT">INDIRECT(Skizzen!$K$2)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7" i="34" l="1"/>
  <c r="B166" i="34"/>
  <c r="C25" i="35" s="1"/>
  <c r="F166" i="34"/>
  <c r="E166" i="34"/>
  <c r="C166" i="34"/>
  <c r="D166" i="34"/>
  <c r="B165" i="34"/>
  <c r="B164" i="34"/>
  <c r="M20" i="29" s="1"/>
  <c r="F32" i="33" s="1"/>
  <c r="D23" i="28"/>
  <c r="D22" i="28"/>
  <c r="D21" i="28"/>
  <c r="D20" i="28"/>
  <c r="D19" i="28"/>
  <c r="D18" i="28"/>
  <c r="D17" i="28"/>
  <c r="D16" i="28"/>
  <c r="D15" i="28"/>
  <c r="D14" i="28"/>
  <c r="D13" i="28"/>
  <c r="D12" i="28"/>
  <c r="D11" i="28"/>
  <c r="D10" i="28"/>
  <c r="D9" i="28"/>
  <c r="D8" i="28"/>
  <c r="D7" i="28"/>
  <c r="D6" i="28"/>
  <c r="D5" i="28"/>
  <c r="D4" i="28"/>
  <c r="B156" i="34"/>
  <c r="B109" i="31" s="1"/>
  <c r="B157" i="34"/>
  <c r="B105" i="31" s="1"/>
  <c r="B158" i="34"/>
  <c r="B112" i="31" s="1"/>
  <c r="F155" i="34"/>
  <c r="D155" i="34"/>
  <c r="C155" i="34"/>
  <c r="B155" i="34" s="1"/>
  <c r="E155" i="34"/>
  <c r="D55" i="28"/>
  <c r="D54" i="28"/>
  <c r="D53" i="28"/>
  <c r="D52" i="28"/>
  <c r="D51" i="28"/>
  <c r="D50" i="28"/>
  <c r="D49" i="28"/>
  <c r="D48" i="28"/>
  <c r="D47" i="28"/>
  <c r="D46" i="28"/>
  <c r="D45" i="28"/>
  <c r="D44" i="28"/>
  <c r="D43" i="28"/>
  <c r="D42" i="28"/>
  <c r="D41" i="28"/>
  <c r="D40" i="28"/>
  <c r="D39" i="28"/>
  <c r="D38" i="28"/>
  <c r="D37" i="28"/>
  <c r="D36" i="28"/>
  <c r="B160" i="34"/>
  <c r="H113" i="15" s="1"/>
  <c r="B161" i="34"/>
  <c r="I113" i="15" s="1"/>
  <c r="E138" i="31"/>
  <c r="B162" i="34"/>
  <c r="B163" i="34"/>
  <c r="B159" i="34"/>
  <c r="K7" i="11" s="1"/>
  <c r="B151" i="34"/>
  <c r="B152" i="34"/>
  <c r="B153" i="34"/>
  <c r="B154" i="34"/>
  <c r="B148" i="34"/>
  <c r="B149" i="34"/>
  <c r="B150" i="34"/>
  <c r="B44" i="34"/>
  <c r="B45" i="34"/>
  <c r="B57" i="34"/>
  <c r="B58" i="34"/>
  <c r="B59" i="34"/>
  <c r="B60" i="34"/>
  <c r="B61" i="34"/>
  <c r="B20" i="35" s="1"/>
  <c r="D20" i="35" s="1"/>
  <c r="B62" i="34"/>
  <c r="E56" i="2"/>
  <c r="E49" i="2"/>
  <c r="B19" i="34"/>
  <c r="B20" i="34"/>
  <c r="B21" i="34"/>
  <c r="B22" i="34"/>
  <c r="B23" i="34"/>
  <c r="B29" i="35"/>
  <c r="D29" i="35" s="1"/>
  <c r="B5" i="35"/>
  <c r="B6" i="35"/>
  <c r="C137" i="31"/>
  <c r="J49" i="2"/>
  <c r="J56" i="2"/>
  <c r="B133" i="34"/>
  <c r="A69" i="31" s="1"/>
  <c r="B18" i="35"/>
  <c r="D18" i="35" s="1"/>
  <c r="B56" i="34"/>
  <c r="C20" i="29" s="1"/>
  <c r="N2" i="36"/>
  <c r="B26" i="35"/>
  <c r="D26" i="35" s="1"/>
  <c r="B101" i="34"/>
  <c r="C136" i="31" s="1"/>
  <c r="B85" i="34"/>
  <c r="C138" i="15" s="1"/>
  <c r="B86" i="34"/>
  <c r="C143" i="15" s="1"/>
  <c r="B134" i="34"/>
  <c r="C12" i="31" s="1"/>
  <c r="B92" i="34"/>
  <c r="C113" i="31" s="1"/>
  <c r="B91" i="34"/>
  <c r="C112" i="31" s="1"/>
  <c r="B99" i="34"/>
  <c r="C110" i="31" s="1"/>
  <c r="B23" i="35"/>
  <c r="M21" i="29" l="1"/>
  <c r="F41" i="33" s="1"/>
  <c r="B25" i="35"/>
  <c r="B114" i="15"/>
  <c r="B13" i="35"/>
  <c r="B24" i="35"/>
  <c r="H104" i="31"/>
  <c r="I104" i="31"/>
  <c r="N3" i="36"/>
  <c r="B19" i="35"/>
  <c r="D19" i="35" s="1"/>
  <c r="A78" i="15"/>
  <c r="C10" i="33"/>
  <c r="C12" i="15"/>
  <c r="B22" i="35"/>
  <c r="D22" i="35" s="1"/>
  <c r="B21" i="35"/>
  <c r="D21" i="35" s="1"/>
  <c r="B17" i="35"/>
  <c r="D17" i="35" s="1"/>
  <c r="D23" i="35" s="1"/>
  <c r="B3" i="35"/>
  <c r="D3" i="35" s="1"/>
  <c r="B136" i="28"/>
  <c r="C27" i="32"/>
  <c r="B8" i="35"/>
  <c r="D8" i="35" s="1"/>
  <c r="B7" i="35"/>
  <c r="D7" i="35" s="1"/>
  <c r="D5" i="35"/>
  <c r="B4" i="35"/>
  <c r="D4" i="35" s="1"/>
  <c r="B135" i="28"/>
  <c r="D24" i="35" l="1"/>
  <c r="D25" i="35"/>
  <c r="D6" i="35"/>
  <c r="B134" i="28"/>
  <c r="B133" i="28"/>
  <c r="B132" i="28"/>
  <c r="C13" i="33"/>
  <c r="C14" i="33"/>
  <c r="D25" i="33"/>
  <c r="D24" i="33"/>
  <c r="E41" i="32"/>
  <c r="B41" i="32"/>
  <c r="C28" i="32"/>
  <c r="C41" i="32"/>
  <c r="B118" i="34"/>
  <c r="C107" i="31" s="1"/>
  <c r="B126" i="34"/>
  <c r="C108" i="31" s="1"/>
  <c r="B124" i="34"/>
  <c r="C109" i="31" s="1"/>
  <c r="B74" i="34"/>
  <c r="C25" i="29" s="1"/>
  <c r="K16" i="29"/>
  <c r="C42" i="32" l="1"/>
  <c r="F42" i="32" s="1"/>
  <c r="F41" i="32"/>
  <c r="G41" i="32" s="1"/>
  <c r="D41" i="32"/>
  <c r="C11" i="33"/>
  <c r="E5" i="31"/>
  <c r="E4" i="31"/>
  <c r="E3" i="31"/>
  <c r="E2" i="31"/>
  <c r="E5" i="15"/>
  <c r="E4" i="15"/>
  <c r="E3" i="15"/>
  <c r="E2" i="15"/>
  <c r="B10" i="34"/>
  <c r="C7" i="11" s="1"/>
  <c r="O34" i="29" l="1"/>
  <c r="O36" i="29"/>
  <c r="C20" i="33"/>
  <c r="C27" i="33" s="1"/>
  <c r="E53" i="29"/>
  <c r="E47" i="29"/>
  <c r="E65" i="31"/>
  <c r="H65" i="31"/>
  <c r="H66" i="31"/>
  <c r="H64" i="31"/>
  <c r="G62" i="31"/>
  <c r="G64" i="31"/>
  <c r="G65" i="31"/>
  <c r="G66" i="31"/>
  <c r="G61" i="31"/>
  <c r="G56" i="31"/>
  <c r="H56" i="31"/>
  <c r="G57" i="31"/>
  <c r="H57" i="31"/>
  <c r="H55" i="31"/>
  <c r="G55" i="31"/>
  <c r="G42" i="31"/>
  <c r="G41" i="31"/>
  <c r="G47" i="31"/>
  <c r="G48" i="31"/>
  <c r="G49" i="31"/>
  <c r="G50" i="31"/>
  <c r="E137" i="31" s="1"/>
  <c r="G51" i="31"/>
  <c r="G46" i="31"/>
  <c r="E47" i="31"/>
  <c r="E48" i="31"/>
  <c r="E49" i="31"/>
  <c r="E50" i="31"/>
  <c r="E51" i="31"/>
  <c r="E46" i="31"/>
  <c r="B10" i="11"/>
  <c r="D10" i="25"/>
  <c r="D1" i="25"/>
  <c r="N33" i="29" l="1"/>
  <c r="G42" i="15"/>
  <c r="G43" i="15"/>
  <c r="G41" i="15"/>
  <c r="B61" i="15"/>
  <c r="G73" i="15"/>
  <c r="G75" i="15" s="1"/>
  <c r="G68" i="15"/>
  <c r="H70" i="15" s="1"/>
  <c r="I29" i="2"/>
  <c r="C76" i="15" s="1"/>
  <c r="I25" i="2"/>
  <c r="C71" i="15" s="1"/>
  <c r="B67" i="15"/>
  <c r="G63" i="15"/>
  <c r="H63" i="15"/>
  <c r="G64" i="15"/>
  <c r="H64" i="15"/>
  <c r="H62" i="15"/>
  <c r="G62" i="15"/>
  <c r="G50" i="15"/>
  <c r="G51" i="15"/>
  <c r="G52" i="15"/>
  <c r="G53" i="15"/>
  <c r="G54" i="15"/>
  <c r="G55" i="15"/>
  <c r="G56" i="15"/>
  <c r="G57" i="15"/>
  <c r="G58" i="15"/>
  <c r="B111" i="34"/>
  <c r="B112" i="34"/>
  <c r="B113" i="34"/>
  <c r="B114" i="34"/>
  <c r="B115" i="34"/>
  <c r="B116" i="34"/>
  <c r="B117" i="34"/>
  <c r="B119" i="34"/>
  <c r="B120" i="34"/>
  <c r="B121" i="34"/>
  <c r="B122" i="34"/>
  <c r="B123" i="34"/>
  <c r="B125" i="34"/>
  <c r="B127" i="34"/>
  <c r="B128" i="34"/>
  <c r="C121" i="15" s="1"/>
  <c r="B129" i="34"/>
  <c r="C129" i="15" s="1"/>
  <c r="B130" i="34"/>
  <c r="B131" i="34"/>
  <c r="C118" i="31" s="1"/>
  <c r="B132" i="34"/>
  <c r="C126" i="31" s="1"/>
  <c r="B135" i="34"/>
  <c r="B23" i="11" s="1"/>
  <c r="B136" i="34"/>
  <c r="B25" i="11" s="1"/>
  <c r="B137" i="34"/>
  <c r="O33" i="29" s="1"/>
  <c r="B138" i="34"/>
  <c r="B139" i="34"/>
  <c r="C29" i="35" s="1"/>
  <c r="B140" i="34"/>
  <c r="B141" i="34"/>
  <c r="B142" i="34"/>
  <c r="B143" i="34"/>
  <c r="B144" i="34"/>
  <c r="B145" i="34"/>
  <c r="B146" i="34"/>
  <c r="B147" i="34"/>
  <c r="B110" i="34"/>
  <c r="B109" i="34"/>
  <c r="B108" i="34"/>
  <c r="B107" i="34"/>
  <c r="B106" i="34"/>
  <c r="C39" i="29" s="1"/>
  <c r="B105" i="34"/>
  <c r="C34" i="29" s="1"/>
  <c r="B70" i="34"/>
  <c r="H24" i="29" s="1"/>
  <c r="C61" i="31" s="1"/>
  <c r="B69" i="34"/>
  <c r="H21" i="29" s="1"/>
  <c r="B104" i="34"/>
  <c r="A7" i="31" s="1"/>
  <c r="B97" i="34"/>
  <c r="C45" i="29" s="1"/>
  <c r="B98" i="34"/>
  <c r="C46" i="29" s="1"/>
  <c r="B100" i="34"/>
  <c r="C53" i="29" s="1"/>
  <c r="B102" i="34"/>
  <c r="C52" i="29" s="1"/>
  <c r="B103" i="34"/>
  <c r="B89" i="34"/>
  <c r="C33" i="29" s="1"/>
  <c r="B90" i="34"/>
  <c r="B93" i="34"/>
  <c r="C36" i="29" s="1"/>
  <c r="B94" i="34"/>
  <c r="C37" i="29" s="1"/>
  <c r="B95" i="34"/>
  <c r="G36" i="29" s="1"/>
  <c r="B96" i="34"/>
  <c r="G37" i="29" s="1"/>
  <c r="B71" i="34"/>
  <c r="H25" i="29" s="1"/>
  <c r="C62" i="31" s="1"/>
  <c r="B72" i="34"/>
  <c r="H27" i="29" s="1"/>
  <c r="C64" i="31" s="1"/>
  <c r="E64" i="31" s="1"/>
  <c r="B73" i="34"/>
  <c r="H28" i="29" s="1"/>
  <c r="C65" i="31" s="1"/>
  <c r="B75" i="34"/>
  <c r="H29" i="29" s="1"/>
  <c r="C66" i="31" s="1"/>
  <c r="E66" i="31" s="1"/>
  <c r="B67" i="34"/>
  <c r="H18" i="29" s="1"/>
  <c r="B68" i="34"/>
  <c r="H20" i="29" s="1"/>
  <c r="B66" i="34"/>
  <c r="C24" i="29" s="1"/>
  <c r="C51" i="31" s="1"/>
  <c r="B54" i="34"/>
  <c r="C18" i="29" s="1"/>
  <c r="C46" i="31" s="1"/>
  <c r="B55" i="34"/>
  <c r="C19" i="29" s="1"/>
  <c r="C47" i="31" s="1"/>
  <c r="B63" i="34"/>
  <c r="C21" i="29" s="1"/>
  <c r="C48" i="31" s="1"/>
  <c r="B64" i="34"/>
  <c r="C22" i="29" s="1"/>
  <c r="C49" i="31" s="1"/>
  <c r="B65" i="34"/>
  <c r="C23" i="29" s="1"/>
  <c r="C50" i="31" s="1"/>
  <c r="B3" i="34"/>
  <c r="B4" i="34"/>
  <c r="B5" i="34"/>
  <c r="B6" i="34"/>
  <c r="B5" i="29" s="1"/>
  <c r="B7" i="34"/>
  <c r="B6" i="2" s="1"/>
  <c r="B8" i="34"/>
  <c r="B7" i="29" s="1"/>
  <c r="B9" i="34"/>
  <c r="B11" i="34"/>
  <c r="B12" i="34"/>
  <c r="B8" i="11" s="1"/>
  <c r="B13" i="34"/>
  <c r="H8" i="11" s="1"/>
  <c r="B84" i="34"/>
  <c r="C53" i="2" s="1"/>
  <c r="B87" i="34"/>
  <c r="B82" i="34"/>
  <c r="C45" i="2" s="1"/>
  <c r="B83" i="34"/>
  <c r="C46" i="2" s="1"/>
  <c r="B88" i="34"/>
  <c r="C50" i="2" s="1"/>
  <c r="B76" i="34"/>
  <c r="C33" i="2" s="1"/>
  <c r="B77" i="34"/>
  <c r="B78" i="34"/>
  <c r="C36" i="2" s="1"/>
  <c r="B79" i="34"/>
  <c r="C37" i="2" s="1"/>
  <c r="B80" i="34"/>
  <c r="G41" i="2" s="1"/>
  <c r="B81" i="34"/>
  <c r="G42" i="2" s="1"/>
  <c r="B43" i="34"/>
  <c r="I21" i="2" s="1"/>
  <c r="C67" i="15" s="1"/>
  <c r="B46" i="34"/>
  <c r="I22" i="2" s="1"/>
  <c r="C68" i="15" s="1"/>
  <c r="B47" i="34"/>
  <c r="I23" i="2" s="1"/>
  <c r="B48" i="34"/>
  <c r="I24" i="2" s="1"/>
  <c r="B49" i="34"/>
  <c r="B50" i="34"/>
  <c r="I26" i="2" s="1"/>
  <c r="C73" i="15" s="1"/>
  <c r="B51" i="34"/>
  <c r="I27" i="2" s="1"/>
  <c r="B52" i="34"/>
  <c r="I28" i="2" s="1"/>
  <c r="B53" i="34"/>
  <c r="B36" i="34"/>
  <c r="I13" i="2" s="1"/>
  <c r="C61" i="15" s="1"/>
  <c r="B37" i="34"/>
  <c r="I14" i="2" s="1"/>
  <c r="C62" i="15" s="1"/>
  <c r="B38" i="34"/>
  <c r="I15" i="2" s="1"/>
  <c r="C63" i="15" s="1"/>
  <c r="B39" i="34"/>
  <c r="I16" i="2" s="1"/>
  <c r="C64" i="15" s="1"/>
  <c r="B40" i="34"/>
  <c r="B41" i="34"/>
  <c r="I17" i="2" s="1"/>
  <c r="B42" i="34"/>
  <c r="B14" i="34"/>
  <c r="B12" i="2" s="1"/>
  <c r="B15" i="34"/>
  <c r="C13" i="2" s="1"/>
  <c r="C40" i="15" s="1"/>
  <c r="B16" i="34"/>
  <c r="B17" i="34"/>
  <c r="C15" i="2" s="1"/>
  <c r="C42" i="15" s="1"/>
  <c r="B18" i="34"/>
  <c r="C16" i="2" s="1"/>
  <c r="C43" i="15" s="1"/>
  <c r="C18" i="2"/>
  <c r="C46" i="15" s="1"/>
  <c r="B24" i="34"/>
  <c r="C19" i="2" s="1"/>
  <c r="C47" i="15" s="1"/>
  <c r="B25" i="34"/>
  <c r="C20" i="2" s="1"/>
  <c r="C48" i="15" s="1"/>
  <c r="B26" i="34"/>
  <c r="C21" i="2" s="1"/>
  <c r="C49" i="15" s="1"/>
  <c r="B27" i="34"/>
  <c r="C22" i="2" s="1"/>
  <c r="C50" i="15" s="1"/>
  <c r="B28" i="34"/>
  <c r="C23" i="2" s="1"/>
  <c r="C51" i="15" s="1"/>
  <c r="B29" i="34"/>
  <c r="C24" i="2" s="1"/>
  <c r="C52" i="15" s="1"/>
  <c r="B30" i="34"/>
  <c r="C25" i="2" s="1"/>
  <c r="C53" i="15" s="1"/>
  <c r="B31" i="34"/>
  <c r="C26" i="2" s="1"/>
  <c r="C54" i="15" s="1"/>
  <c r="B32" i="34"/>
  <c r="C27" i="2" s="1"/>
  <c r="C55" i="15" s="1"/>
  <c r="B33" i="34"/>
  <c r="C28" i="2" s="1"/>
  <c r="C56" i="15" s="1"/>
  <c r="B34" i="34"/>
  <c r="C29" i="2" s="1"/>
  <c r="C57" i="15" s="1"/>
  <c r="B35" i="34"/>
  <c r="C30" i="2" s="1"/>
  <c r="C58" i="15" s="1"/>
  <c r="B2" i="34"/>
  <c r="L44" i="30"/>
  <c r="C6" i="33"/>
  <c r="C9" i="33"/>
  <c r="C24" i="33" s="1"/>
  <c r="C3" i="33"/>
  <c r="C8" i="33"/>
  <c r="C7" i="33"/>
  <c r="C5" i="33"/>
  <c r="C4" i="33"/>
  <c r="F132" i="15"/>
  <c r="F133" i="15" s="1"/>
  <c r="F134" i="15" s="1"/>
  <c r="F124" i="15"/>
  <c r="F125" i="15" s="1"/>
  <c r="F126" i="15" s="1"/>
  <c r="C15" i="32"/>
  <c r="C14" i="32"/>
  <c r="C13" i="32"/>
  <c r="C12" i="32"/>
  <c r="B128" i="28"/>
  <c r="B127" i="28"/>
  <c r="B126" i="28"/>
  <c r="B119" i="28"/>
  <c r="L54" i="30"/>
  <c r="L56" i="30"/>
  <c r="L124" i="27"/>
  <c r="J124" i="27"/>
  <c r="J122" i="27"/>
  <c r="G135" i="27" s="1"/>
  <c r="L122" i="27"/>
  <c r="G140" i="27" s="1"/>
  <c r="B55" i="32"/>
  <c r="B51" i="32"/>
  <c r="E116" i="28"/>
  <c r="G116" i="28" s="1"/>
  <c r="E115" i="28"/>
  <c r="G115" i="28" s="1"/>
  <c r="D116" i="28"/>
  <c r="F116" i="28" s="1"/>
  <c r="D115" i="28"/>
  <c r="F115" i="28" s="1"/>
  <c r="H68" i="28"/>
  <c r="J68" i="28" s="1"/>
  <c r="H69" i="28"/>
  <c r="J69" i="28" s="1"/>
  <c r="H70" i="28"/>
  <c r="J70" i="28" s="1"/>
  <c r="H71" i="28"/>
  <c r="J71" i="28" s="1"/>
  <c r="H72" i="28"/>
  <c r="J72" i="28" s="1"/>
  <c r="H73" i="28"/>
  <c r="J73" i="28" s="1"/>
  <c r="H74" i="28"/>
  <c r="J74" i="28" s="1"/>
  <c r="H75" i="28"/>
  <c r="J75" i="28" s="1"/>
  <c r="H76" i="28"/>
  <c r="J76" i="28" s="1"/>
  <c r="H77" i="28"/>
  <c r="J77" i="28" s="1"/>
  <c r="H78" i="28"/>
  <c r="J78" i="28" s="1"/>
  <c r="H79" i="28"/>
  <c r="J79" i="28" s="1"/>
  <c r="H80" i="28"/>
  <c r="J80" i="28" s="1"/>
  <c r="H81" i="28"/>
  <c r="J81" i="28" s="1"/>
  <c r="H82" i="28"/>
  <c r="J82" i="28" s="1"/>
  <c r="H83" i="28"/>
  <c r="J83" i="28" s="1"/>
  <c r="H84" i="28"/>
  <c r="J84" i="28" s="1"/>
  <c r="H85" i="28"/>
  <c r="J85" i="28" s="1"/>
  <c r="H86" i="28"/>
  <c r="J86" i="28" s="1"/>
  <c r="H87" i="28"/>
  <c r="J87" i="28" s="1"/>
  <c r="H88" i="28"/>
  <c r="J88" i="28" s="1"/>
  <c r="H89" i="28"/>
  <c r="J89" i="28" s="1"/>
  <c r="H90" i="28"/>
  <c r="J90" i="28" s="1"/>
  <c r="H91" i="28"/>
  <c r="J91" i="28" s="1"/>
  <c r="H92" i="28"/>
  <c r="J92" i="28" s="1"/>
  <c r="H93" i="28"/>
  <c r="J93" i="28" s="1"/>
  <c r="H94" i="28"/>
  <c r="J94" i="28" s="1"/>
  <c r="H95" i="28"/>
  <c r="J95" i="28" s="1"/>
  <c r="H96" i="28"/>
  <c r="J96" i="28" s="1"/>
  <c r="H97" i="28"/>
  <c r="J97" i="28" s="1"/>
  <c r="H98" i="28"/>
  <c r="J98" i="28" s="1"/>
  <c r="H99" i="28"/>
  <c r="J99" i="28" s="1"/>
  <c r="H100" i="28"/>
  <c r="J100" i="28" s="1"/>
  <c r="H101" i="28"/>
  <c r="J101" i="28" s="1"/>
  <c r="H102" i="28"/>
  <c r="J102" i="28" s="1"/>
  <c r="H103" i="28"/>
  <c r="J103" i="28" s="1"/>
  <c r="H104" i="28"/>
  <c r="J104" i="28" s="1"/>
  <c r="H105" i="28"/>
  <c r="J105" i="28" s="1"/>
  <c r="H106" i="28"/>
  <c r="J106" i="28" s="1"/>
  <c r="H107" i="28"/>
  <c r="J107" i="28" s="1"/>
  <c r="H108" i="28"/>
  <c r="J108" i="28" s="1"/>
  <c r="H109" i="28"/>
  <c r="J109" i="28" s="1"/>
  <c r="H67" i="28"/>
  <c r="J67" i="28" s="1"/>
  <c r="G68" i="28"/>
  <c r="I68" i="28" s="1"/>
  <c r="G69" i="28"/>
  <c r="I69" i="28" s="1"/>
  <c r="G70" i="28"/>
  <c r="I70" i="28" s="1"/>
  <c r="G71" i="28"/>
  <c r="I71" i="28" s="1"/>
  <c r="G72" i="28"/>
  <c r="I72" i="28" s="1"/>
  <c r="G73" i="28"/>
  <c r="I73" i="28" s="1"/>
  <c r="G74" i="28"/>
  <c r="I74" i="28" s="1"/>
  <c r="G75" i="28"/>
  <c r="I75" i="28" s="1"/>
  <c r="G76" i="28"/>
  <c r="I76" i="28" s="1"/>
  <c r="G77" i="28"/>
  <c r="I77" i="28" s="1"/>
  <c r="G78" i="28"/>
  <c r="I78" i="28" s="1"/>
  <c r="G79" i="28"/>
  <c r="I79" i="28" s="1"/>
  <c r="G80" i="28"/>
  <c r="I80" i="28" s="1"/>
  <c r="G81" i="28"/>
  <c r="I81" i="28" s="1"/>
  <c r="G82" i="28"/>
  <c r="I82" i="28" s="1"/>
  <c r="G83" i="28"/>
  <c r="I83" i="28" s="1"/>
  <c r="G84" i="28"/>
  <c r="I84" i="28" s="1"/>
  <c r="G85" i="28"/>
  <c r="I85" i="28" s="1"/>
  <c r="G86" i="28"/>
  <c r="I86" i="28" s="1"/>
  <c r="G87" i="28"/>
  <c r="I87" i="28" s="1"/>
  <c r="G88" i="28"/>
  <c r="I88" i="28" s="1"/>
  <c r="G89" i="28"/>
  <c r="I89" i="28" s="1"/>
  <c r="G90" i="28"/>
  <c r="I90" i="28" s="1"/>
  <c r="G91" i="28"/>
  <c r="I91" i="28" s="1"/>
  <c r="G92" i="28"/>
  <c r="I92" i="28" s="1"/>
  <c r="G93" i="28"/>
  <c r="I93" i="28" s="1"/>
  <c r="G94" i="28"/>
  <c r="I94" i="28" s="1"/>
  <c r="G95" i="28"/>
  <c r="I95" i="28" s="1"/>
  <c r="G96" i="28"/>
  <c r="I96" i="28" s="1"/>
  <c r="G97" i="28"/>
  <c r="I97" i="28" s="1"/>
  <c r="G98" i="28"/>
  <c r="I98" i="28" s="1"/>
  <c r="G99" i="28"/>
  <c r="I99" i="28" s="1"/>
  <c r="G100" i="28"/>
  <c r="I100" i="28" s="1"/>
  <c r="G101" i="28"/>
  <c r="I101" i="28" s="1"/>
  <c r="G102" i="28"/>
  <c r="I102" i="28" s="1"/>
  <c r="G103" i="28"/>
  <c r="I103" i="28" s="1"/>
  <c r="G104" i="28"/>
  <c r="I104" i="28" s="1"/>
  <c r="G105" i="28"/>
  <c r="I105" i="28" s="1"/>
  <c r="G106" i="28"/>
  <c r="I106" i="28" s="1"/>
  <c r="G107" i="28"/>
  <c r="I107" i="28" s="1"/>
  <c r="G108" i="28"/>
  <c r="I108" i="28" s="1"/>
  <c r="G109" i="28"/>
  <c r="I109" i="28" s="1"/>
  <c r="G67" i="28"/>
  <c r="I67" i="28" s="1"/>
  <c r="G139" i="27"/>
  <c r="F139" i="27"/>
  <c r="L12" i="27"/>
  <c r="L11" i="27"/>
  <c r="L9" i="27"/>
  <c r="L10" i="27"/>
  <c r="L7" i="27"/>
  <c r="L6" i="27"/>
  <c r="L5" i="27"/>
  <c r="J82" i="27" s="1"/>
  <c r="F8" i="27"/>
  <c r="L8" i="27"/>
  <c r="C11" i="32"/>
  <c r="C53" i="32"/>
  <c r="C54" i="32"/>
  <c r="C55" i="32"/>
  <c r="C48" i="32"/>
  <c r="C49" i="32"/>
  <c r="C50" i="32"/>
  <c r="C51" i="32"/>
  <c r="C52" i="32"/>
  <c r="C14" i="2" l="1"/>
  <c r="C41" i="15" s="1"/>
  <c r="C24" i="35"/>
  <c r="O35" i="29" s="1"/>
  <c r="C13" i="35"/>
  <c r="A38" i="15"/>
  <c r="A38" i="31"/>
  <c r="D19" i="33"/>
  <c r="D27" i="33"/>
  <c r="E27" i="33" s="1"/>
  <c r="D20" i="33"/>
  <c r="E20" i="33" s="1"/>
  <c r="C35" i="2"/>
  <c r="C117" i="15"/>
  <c r="C40" i="29"/>
  <c r="C114" i="31"/>
  <c r="E144" i="15"/>
  <c r="I110" i="28"/>
  <c r="I111" i="28"/>
  <c r="J111" i="28"/>
  <c r="J110" i="28"/>
  <c r="D26" i="33"/>
  <c r="F28" i="33" s="1"/>
  <c r="C15" i="33"/>
  <c r="C16" i="33" s="1"/>
  <c r="E49" i="29"/>
  <c r="E55" i="29"/>
  <c r="J8" i="2"/>
  <c r="K6" i="11"/>
  <c r="B26" i="15"/>
  <c r="B26" i="31"/>
  <c r="B2" i="15"/>
  <c r="B3" i="11"/>
  <c r="B14" i="15"/>
  <c r="B14" i="31"/>
  <c r="C127" i="31"/>
  <c r="C119" i="31"/>
  <c r="C130" i="15"/>
  <c r="C122" i="15"/>
  <c r="B9" i="15"/>
  <c r="B9" i="31"/>
  <c r="B28" i="15"/>
  <c r="B28" i="31"/>
  <c r="B3" i="15"/>
  <c r="B4" i="11"/>
  <c r="C10" i="15"/>
  <c r="C10" i="31"/>
  <c r="C115" i="15"/>
  <c r="C106" i="31"/>
  <c r="B4" i="2"/>
  <c r="B2" i="11"/>
  <c r="G6" i="15"/>
  <c r="B5" i="11"/>
  <c r="C15" i="15"/>
  <c r="C15" i="31"/>
  <c r="B8" i="2"/>
  <c r="C6" i="11"/>
  <c r="C116" i="15"/>
  <c r="C113" i="15"/>
  <c r="C104" i="31"/>
  <c r="J55" i="29"/>
  <c r="F121" i="31"/>
  <c r="F122" i="31" s="1"/>
  <c r="F123" i="31" s="1"/>
  <c r="F129" i="31"/>
  <c r="F130" i="31" s="1"/>
  <c r="F131" i="31" s="1"/>
  <c r="C117" i="31"/>
  <c r="C120" i="15"/>
  <c r="A111" i="15"/>
  <c r="A102" i="31"/>
  <c r="F71" i="15"/>
  <c r="E71" i="15"/>
  <c r="C111" i="31"/>
  <c r="H76" i="15"/>
  <c r="E76" i="15"/>
  <c r="C114" i="15"/>
  <c r="C105" i="31"/>
  <c r="C47" i="2"/>
  <c r="C54" i="2"/>
  <c r="C17" i="15"/>
  <c r="C17" i="31"/>
  <c r="B34" i="15"/>
  <c r="B34" i="31"/>
  <c r="A7" i="15"/>
  <c r="C39" i="2"/>
  <c r="C34" i="2"/>
  <c r="C74" i="15"/>
  <c r="C69" i="15"/>
  <c r="C70" i="15"/>
  <c r="H71" i="15"/>
  <c r="G76" i="15"/>
  <c r="F76" i="15"/>
  <c r="C75" i="15"/>
  <c r="G70" i="15"/>
  <c r="G74" i="15"/>
  <c r="G69" i="15"/>
  <c r="H74" i="15"/>
  <c r="H69" i="15"/>
  <c r="H75" i="15"/>
  <c r="G71" i="15"/>
  <c r="C47" i="29"/>
  <c r="C35" i="29"/>
  <c r="C42" i="2"/>
  <c r="C41" i="2"/>
  <c r="B5" i="31"/>
  <c r="C42" i="29"/>
  <c r="B6" i="31"/>
  <c r="C41" i="29"/>
  <c r="G41" i="29"/>
  <c r="C40" i="2"/>
  <c r="G42" i="29"/>
  <c r="C41" i="33"/>
  <c r="C32" i="33"/>
  <c r="B3" i="31"/>
  <c r="G6" i="31"/>
  <c r="J49" i="29"/>
  <c r="B4" i="31"/>
  <c r="B2" i="31"/>
  <c r="H13" i="29"/>
  <c r="C54" i="31" s="1"/>
  <c r="H16" i="29"/>
  <c r="C57" i="31" s="1"/>
  <c r="H14" i="29"/>
  <c r="C55" i="31" s="1"/>
  <c r="B5" i="2"/>
  <c r="H15" i="29"/>
  <c r="C56" i="31" s="1"/>
  <c r="H23" i="29"/>
  <c r="C60" i="31" s="1"/>
  <c r="B7" i="2"/>
  <c r="B4" i="15"/>
  <c r="B8" i="29"/>
  <c r="B5" i="15"/>
  <c r="J8" i="29"/>
  <c r="B6" i="15"/>
  <c r="B12" i="29"/>
  <c r="C13" i="29"/>
  <c r="C40" i="31" s="1"/>
  <c r="B4" i="29"/>
  <c r="C14" i="29"/>
  <c r="C41" i="31" s="1"/>
  <c r="C15" i="29"/>
  <c r="C42" i="31" s="1"/>
  <c r="B6" i="29"/>
  <c r="C17" i="29"/>
  <c r="C45" i="31" s="1"/>
  <c r="C57" i="2"/>
  <c r="C25" i="33"/>
  <c r="E25" i="33" s="1"/>
  <c r="C26" i="33"/>
  <c r="C19" i="33"/>
  <c r="M83" i="27"/>
  <c r="M100" i="27"/>
  <c r="AA91" i="27"/>
  <c r="AA82" i="27"/>
  <c r="N100" i="27"/>
  <c r="M99" i="27"/>
  <c r="Z82" i="27"/>
  <c r="M81" i="27"/>
  <c r="AA90" i="27"/>
  <c r="AA85" i="27"/>
  <c r="AA81" i="27"/>
  <c r="AA86" i="27"/>
  <c r="N102" i="27"/>
  <c r="M82" i="27"/>
  <c r="Z91" i="27"/>
  <c r="Z86" i="27"/>
  <c r="M98" i="27"/>
  <c r="Z90" i="27"/>
  <c r="Z85" i="27"/>
  <c r="Z81" i="27"/>
  <c r="N101" i="27"/>
  <c r="N99" i="27"/>
  <c r="AA89" i="27"/>
  <c r="AA84" i="27"/>
  <c r="Z89" i="27"/>
  <c r="Z84" i="27"/>
  <c r="M102" i="27"/>
  <c r="AA93" i="27"/>
  <c r="AA88" i="27"/>
  <c r="AA83" i="27"/>
  <c r="M84" i="27"/>
  <c r="M101" i="27"/>
  <c r="Z93" i="27"/>
  <c r="Z88" i="27"/>
  <c r="Z83" i="27"/>
  <c r="I98" i="27"/>
  <c r="I102" i="27"/>
  <c r="J98" i="27"/>
  <c r="J102" i="27"/>
  <c r="I99" i="27"/>
  <c r="J99" i="27"/>
  <c r="I100" i="27"/>
  <c r="N98" i="27"/>
  <c r="J100" i="27"/>
  <c r="I101" i="27"/>
  <c r="J101" i="27"/>
  <c r="M85" i="27"/>
  <c r="N85" i="27"/>
  <c r="N84" i="27"/>
  <c r="N81" i="27"/>
  <c r="N83" i="27"/>
  <c r="N82" i="27"/>
  <c r="B120" i="28"/>
  <c r="B125" i="28"/>
  <c r="B121" i="28"/>
  <c r="B124" i="28"/>
  <c r="J126" i="27"/>
  <c r="E135" i="27" s="1"/>
  <c r="L126" i="27"/>
  <c r="E140" i="27" s="1"/>
  <c r="J85" i="27"/>
  <c r="J84" i="27"/>
  <c r="I83" i="27"/>
  <c r="I85" i="27"/>
  <c r="I82" i="27"/>
  <c r="I84" i="27"/>
  <c r="J83" i="27"/>
  <c r="J81" i="27"/>
  <c r="I81" i="27"/>
  <c r="C4" i="32"/>
  <c r="C5" i="32"/>
  <c r="C6" i="32"/>
  <c r="C7" i="32"/>
  <c r="C8" i="32"/>
  <c r="C9" i="32"/>
  <c r="C10" i="32"/>
  <c r="B38" i="32" s="1"/>
  <c r="C3" i="32"/>
  <c r="B39" i="32" l="1"/>
  <c r="C11" i="35"/>
  <c r="F21" i="33"/>
  <c r="G21" i="33"/>
  <c r="C12" i="35"/>
  <c r="B11" i="35"/>
  <c r="B12" i="35"/>
  <c r="H105" i="31"/>
  <c r="I105" i="31" s="1"/>
  <c r="C24" i="32"/>
  <c r="B37" i="32"/>
  <c r="E37" i="32" s="1"/>
  <c r="F70" i="15"/>
  <c r="E70" i="15"/>
  <c r="F74" i="15"/>
  <c r="E74" i="15"/>
  <c r="F75" i="15"/>
  <c r="E75" i="15"/>
  <c r="F69" i="15"/>
  <c r="E69" i="15"/>
  <c r="E19" i="33"/>
  <c r="C21" i="33" s="1"/>
  <c r="E24" i="33"/>
  <c r="C22" i="32"/>
  <c r="C18" i="32"/>
  <c r="C17" i="32"/>
  <c r="C20" i="32"/>
  <c r="B42" i="32" s="1"/>
  <c r="C21" i="32"/>
  <c r="E21" i="2" s="1"/>
  <c r="G49" i="15" s="1"/>
  <c r="G58" i="30"/>
  <c r="F59" i="30"/>
  <c r="L46" i="30" a="1"/>
  <c r="L46" i="30" s="1"/>
  <c r="I3" i="25"/>
  <c r="E127" i="31"/>
  <c r="E119" i="31"/>
  <c r="F11" i="30"/>
  <c r="F10" i="30"/>
  <c r="F6" i="30"/>
  <c r="F7" i="30"/>
  <c r="F8" i="30"/>
  <c r="F5" i="30"/>
  <c r="F4" i="30"/>
  <c r="F3" i="30"/>
  <c r="J9" i="29"/>
  <c r="K8" i="29"/>
  <c r="D8" i="29"/>
  <c r="D29" i="28"/>
  <c r="E29" i="28" s="1"/>
  <c r="D30" i="28"/>
  <c r="E30" i="28" s="1"/>
  <c r="D31" i="28"/>
  <c r="E31" i="28" s="1"/>
  <c r="E5" i="28"/>
  <c r="E6" i="28"/>
  <c r="E7" i="28"/>
  <c r="E8" i="28"/>
  <c r="E9" i="28"/>
  <c r="E10" i="28"/>
  <c r="E11" i="28"/>
  <c r="E12" i="28"/>
  <c r="E13" i="28"/>
  <c r="E14" i="28"/>
  <c r="E15" i="28"/>
  <c r="E16" i="28"/>
  <c r="E17" i="28"/>
  <c r="E18" i="28"/>
  <c r="E19" i="28"/>
  <c r="E20" i="28"/>
  <c r="E21" i="28"/>
  <c r="E22" i="28"/>
  <c r="E23" i="28"/>
  <c r="D61" i="28"/>
  <c r="E61" i="28" s="1"/>
  <c r="D62" i="28"/>
  <c r="E62" i="28" s="1"/>
  <c r="D63" i="28"/>
  <c r="E63" i="28" s="1"/>
  <c r="E54" i="28"/>
  <c r="E55" i="28"/>
  <c r="D28" i="28"/>
  <c r="E28" i="28" s="1"/>
  <c r="E4" i="28"/>
  <c r="D60" i="28"/>
  <c r="E60" i="28" s="1"/>
  <c r="E37" i="28"/>
  <c r="E38" i="28"/>
  <c r="E39" i="28"/>
  <c r="E40" i="28"/>
  <c r="E41" i="28"/>
  <c r="E42" i="28"/>
  <c r="E43" i="28"/>
  <c r="E44" i="28"/>
  <c r="E45" i="28"/>
  <c r="E46" i="28"/>
  <c r="E47" i="28"/>
  <c r="E48" i="28"/>
  <c r="E49" i="28"/>
  <c r="E50" i="28"/>
  <c r="E51" i="28"/>
  <c r="E52" i="28"/>
  <c r="E53" i="28"/>
  <c r="E36" i="28"/>
  <c r="G133" i="27"/>
  <c r="G134" i="27"/>
  <c r="F134" i="27"/>
  <c r="F133" i="27"/>
  <c r="F10" i="27"/>
  <c r="F9" i="27"/>
  <c r="C10" i="35" l="1"/>
  <c r="L38" i="27"/>
  <c r="F59" i="27" s="1"/>
  <c r="L40" i="27"/>
  <c r="G59" i="27" s="1"/>
  <c r="C37" i="32"/>
  <c r="C9" i="35"/>
  <c r="F37" i="32"/>
  <c r="G37" i="32" s="1"/>
  <c r="B10" i="35"/>
  <c r="B9" i="35"/>
  <c r="D9" i="35" s="1"/>
  <c r="E42" i="32"/>
  <c r="D42" i="32"/>
  <c r="G42" i="32"/>
  <c r="B40" i="32"/>
  <c r="E40" i="32" s="1"/>
  <c r="B44" i="32"/>
  <c r="E44" i="32" s="1"/>
  <c r="C31" i="32"/>
  <c r="C40" i="32" s="1"/>
  <c r="F40" i="32" s="1"/>
  <c r="C33" i="32"/>
  <c r="C44" i="32" s="1"/>
  <c r="F44" i="32" s="1"/>
  <c r="D21" i="30"/>
  <c r="H107" i="31"/>
  <c r="I107" i="31" s="1"/>
  <c r="D18" i="30"/>
  <c r="H106" i="31"/>
  <c r="I106" i="31" s="1"/>
  <c r="D15" i="30"/>
  <c r="E26" i="33"/>
  <c r="C28" i="33" s="1"/>
  <c r="F112" i="27"/>
  <c r="G138" i="27" s="1"/>
  <c r="F95" i="27"/>
  <c r="G132" i="27" s="1"/>
  <c r="B123" i="28"/>
  <c r="B122" i="28"/>
  <c r="E20" i="2"/>
  <c r="H116" i="15" s="1"/>
  <c r="I116" i="15" s="1"/>
  <c r="F7" i="27"/>
  <c r="D37" i="32"/>
  <c r="C19" i="32"/>
  <c r="F58" i="30"/>
  <c r="F9" i="30"/>
  <c r="F4" i="27"/>
  <c r="F3" i="27"/>
  <c r="I108" i="31" l="1"/>
  <c r="D10" i="35"/>
  <c r="D11" i="35" s="1"/>
  <c r="E38" i="32"/>
  <c r="C25" i="32"/>
  <c r="C26" i="32"/>
  <c r="C39" i="32" s="1"/>
  <c r="F39" i="32" s="1"/>
  <c r="G40" i="32"/>
  <c r="D44" i="32"/>
  <c r="G44" i="32"/>
  <c r="D40" i="32"/>
  <c r="E19" i="2"/>
  <c r="G48" i="15"/>
  <c r="B129" i="28"/>
  <c r="C112" i="15" s="1"/>
  <c r="C119" i="15" s="1"/>
  <c r="I58" i="2"/>
  <c r="F6" i="27"/>
  <c r="I51" i="2"/>
  <c r="B47" i="32"/>
  <c r="C47" i="32" s="1"/>
  <c r="G3" i="25"/>
  <c r="H3" i="25"/>
  <c r="C9" i="25"/>
  <c r="C8" i="25"/>
  <c r="C7" i="25"/>
  <c r="C6" i="25"/>
  <c r="C5" i="25"/>
  <c r="C4" i="25"/>
  <c r="C29" i="32" l="1"/>
  <c r="D12" i="35"/>
  <c r="E39" i="32"/>
  <c r="G39" i="32"/>
  <c r="C38" i="32"/>
  <c r="F5" i="27"/>
  <c r="G47" i="15"/>
  <c r="D39" i="32"/>
  <c r="J9" i="2"/>
  <c r="D14" i="35" l="1"/>
  <c r="D13" i="35"/>
  <c r="O42" i="2" s="1"/>
  <c r="C43" i="32"/>
  <c r="C45" i="32" s="1"/>
  <c r="K17" i="2"/>
  <c r="D38" i="32"/>
  <c r="B43" i="32" s="1"/>
  <c r="F38" i="32"/>
  <c r="O41" i="2" l="1"/>
  <c r="E35" i="2"/>
  <c r="C61" i="32"/>
  <c r="D43" i="32"/>
  <c r="B45" i="32" s="1"/>
  <c r="G38" i="32"/>
  <c r="E43" i="32" s="1"/>
  <c r="F43" i="32"/>
  <c r="E37" i="2" l="1"/>
  <c r="C60" i="32"/>
  <c r="E36" i="2" s="1"/>
  <c r="G43" i="32"/>
  <c r="E45" i="32" s="1"/>
  <c r="F45" i="32"/>
  <c r="H114" i="15"/>
  <c r="D8" i="2"/>
  <c r="I114" i="15" l="1"/>
  <c r="E40" i="2"/>
  <c r="C58" i="32"/>
  <c r="C57" i="32" s="1"/>
  <c r="H115" i="15"/>
  <c r="I115" i="15" s="1"/>
  <c r="D6" i="30"/>
  <c r="D11" i="30"/>
  <c r="D8" i="30"/>
  <c r="D7" i="30"/>
  <c r="L6" i="11"/>
  <c r="H117" i="15" l="1"/>
  <c r="I117" i="15"/>
  <c r="D15" i="27"/>
  <c r="D10" i="30"/>
  <c r="D5" i="30"/>
  <c r="K8" i="2" l="1"/>
  <c r="E6" i="31" l="1"/>
  <c r="E6" i="15"/>
  <c r="E42" i="2" l="1"/>
  <c r="D21" i="27" l="1"/>
  <c r="I111" i="31" l="1"/>
  <c r="E132" i="15"/>
  <c r="E41" i="2"/>
  <c r="L98" i="27"/>
  <c r="K99" i="27"/>
  <c r="O99" i="27" s="1"/>
  <c r="Q99" i="27" s="1"/>
  <c r="K101" i="27"/>
  <c r="O101" i="27" s="1"/>
  <c r="Q101" i="27" s="1"/>
  <c r="K98" i="27"/>
  <c r="L99" i="27"/>
  <c r="P99" i="27" s="1"/>
  <c r="R99" i="27" s="1"/>
  <c r="L101" i="27"/>
  <c r="P101" i="27" s="1"/>
  <c r="R101" i="27" s="1"/>
  <c r="K100" i="27"/>
  <c r="O100" i="27" s="1"/>
  <c r="Q100" i="27" s="1"/>
  <c r="K102" i="27"/>
  <c r="O102" i="27" s="1"/>
  <c r="Q102" i="27" s="1"/>
  <c r="L100" i="27"/>
  <c r="P100" i="27" s="1"/>
  <c r="R100" i="27" s="1"/>
  <c r="L102" i="27"/>
  <c r="P102" i="27" s="1"/>
  <c r="R102" i="27" s="1"/>
  <c r="D18" i="27"/>
  <c r="E70" i="27" s="1" a="1"/>
  <c r="E70" i="27" s="1"/>
  <c r="E69" i="27" s="1"/>
  <c r="E74" i="27" a="1"/>
  <c r="E74" i="27" s="1"/>
  <c r="E73" i="27" s="1"/>
  <c r="J56" i="27" a="1"/>
  <c r="J56" i="27" s="1"/>
  <c r="J57" i="27" s="1"/>
  <c r="F56" i="27" a="1"/>
  <c r="F56" i="27" s="1"/>
  <c r="F57" i="27" s="1"/>
  <c r="E56" i="27" a="1"/>
  <c r="E56" i="27" s="1"/>
  <c r="E57" i="27" s="1"/>
  <c r="H56" i="27" a="1"/>
  <c r="H56" i="27" s="1"/>
  <c r="H57" i="27" s="1"/>
  <c r="G56" i="27" a="1"/>
  <c r="G56" i="27" s="1"/>
  <c r="G57" i="27" s="1"/>
  <c r="I56" i="27" a="1"/>
  <c r="I56" i="27" s="1"/>
  <c r="I57" i="27" s="1"/>
  <c r="I114" i="31" l="1"/>
  <c r="L53" i="27"/>
  <c r="G60" i="27" s="1"/>
  <c r="C34" i="33"/>
  <c r="F34" i="33"/>
  <c r="E40" i="29" s="1"/>
  <c r="D24" i="30"/>
  <c r="D27" i="30" s="1"/>
  <c r="L5" i="30"/>
  <c r="E124" i="15"/>
  <c r="P98" i="27"/>
  <c r="R98" i="27" s="1"/>
  <c r="G105" i="27" s="1"/>
  <c r="O98" i="27"/>
  <c r="Q98" i="27" s="1"/>
  <c r="F105" i="27" s="1"/>
  <c r="L81" i="27"/>
  <c r="P81" i="27" s="1"/>
  <c r="R81" i="27" s="1"/>
  <c r="K82" i="27"/>
  <c r="O82" i="27" s="1"/>
  <c r="Q82" i="27" s="1"/>
  <c r="K83" i="27"/>
  <c r="O83" i="27" s="1"/>
  <c r="Q83" i="27" s="1"/>
  <c r="L84" i="27"/>
  <c r="P84" i="27" s="1"/>
  <c r="R84" i="27" s="1"/>
  <c r="L85" i="27"/>
  <c r="P85" i="27" s="1"/>
  <c r="R85" i="27" s="1"/>
  <c r="K84" i="27"/>
  <c r="O84" i="27" s="1"/>
  <c r="Q84" i="27" s="1"/>
  <c r="L83" i="27"/>
  <c r="P83" i="27" s="1"/>
  <c r="R83" i="27" s="1"/>
  <c r="L82" i="27"/>
  <c r="P82" i="27" s="1"/>
  <c r="R82" i="27" s="1"/>
  <c r="K85" i="27"/>
  <c r="O85" i="27" s="1"/>
  <c r="Q85" i="27" s="1"/>
  <c r="K81" i="27"/>
  <c r="O81" i="27" s="1"/>
  <c r="Q81" i="27" s="1"/>
  <c r="D139" i="27"/>
  <c r="E139" i="27"/>
  <c r="J54" i="27" a="1"/>
  <c r="J54" i="27" s="1"/>
  <c r="J55" i="27" s="1"/>
  <c r="H54" i="27" a="1"/>
  <c r="H54" i="27" s="1"/>
  <c r="H55" i="27" s="1"/>
  <c r="E54" i="27" a="1"/>
  <c r="E54" i="27" s="1"/>
  <c r="F54" i="27" a="1"/>
  <c r="F54" i="27" s="1"/>
  <c r="F55" i="27" s="1"/>
  <c r="I54" i="27" a="1"/>
  <c r="I54" i="27" s="1"/>
  <c r="I55" i="27" s="1"/>
  <c r="G54" i="27" a="1"/>
  <c r="G54" i="27" s="1"/>
  <c r="G55" i="27" s="1"/>
  <c r="E55" i="27" l="1"/>
  <c r="L51" i="27" s="1"/>
  <c r="L42" i="2"/>
  <c r="C37" i="33"/>
  <c r="E42" i="29" s="1"/>
  <c r="D55" i="29" s="1"/>
  <c r="C43" i="33"/>
  <c r="H109" i="31"/>
  <c r="H112" i="31" s="1"/>
  <c r="I112" i="31" s="1"/>
  <c r="F88" i="27"/>
  <c r="F86" i="27" s="1"/>
  <c r="G88" i="27"/>
  <c r="G86" i="27" s="1"/>
  <c r="G87" i="27" s="1"/>
  <c r="E134" i="27"/>
  <c r="E133" i="27"/>
  <c r="M18" i="29"/>
  <c r="F60" i="27" l="1"/>
  <c r="L41" i="2"/>
  <c r="H108" i="31"/>
  <c r="I109" i="31"/>
  <c r="I110" i="31" s="1"/>
  <c r="H110" i="31" s="1"/>
  <c r="C36" i="33"/>
  <c r="D30" i="30" s="1"/>
  <c r="D32" i="30"/>
  <c r="E35" i="29"/>
  <c r="F43" i="33"/>
  <c r="F89" i="27"/>
  <c r="F93" i="27"/>
  <c r="E132" i="27" s="1"/>
  <c r="I49" i="2" s="1"/>
  <c r="E126" i="15" s="1"/>
  <c r="G89" i="27"/>
  <c r="F87" i="27"/>
  <c r="F91" i="27"/>
  <c r="D133" i="27"/>
  <c r="D134" i="27"/>
  <c r="H111" i="31" l="1"/>
  <c r="H114" i="31" s="1"/>
  <c r="H113" i="31"/>
  <c r="I113" i="31" s="1"/>
  <c r="E41" i="29"/>
  <c r="D49" i="29" s="1"/>
  <c r="C46" i="33"/>
  <c r="E37" i="29" s="1"/>
  <c r="E129" i="31" s="1"/>
  <c r="F94" i="27"/>
  <c r="F132" i="27" s="1"/>
  <c r="D132" i="27"/>
  <c r="E47" i="2" s="1"/>
  <c r="F92" i="27"/>
  <c r="D49" i="2" s="1"/>
  <c r="C45" i="33" l="1"/>
  <c r="E36" i="29" s="1"/>
  <c r="E121" i="31" s="1"/>
  <c r="D47" i="2"/>
  <c r="E122" i="15" s="1"/>
  <c r="E122" i="31"/>
  <c r="E123" i="31" s="1"/>
  <c r="C124" i="31" s="1"/>
  <c r="I49" i="29"/>
  <c r="E130" i="31"/>
  <c r="E131" i="31" s="1"/>
  <c r="C132" i="31" s="1"/>
  <c r="I55" i="29"/>
  <c r="L55" i="29" s="1"/>
  <c r="K55" i="29" s="1"/>
  <c r="D51" i="2" l="1"/>
  <c r="L51" i="2" s="1"/>
  <c r="K51" i="2" s="1"/>
  <c r="E125" i="15"/>
  <c r="C127" i="15" s="1"/>
  <c r="L49" i="2"/>
  <c r="K49" i="2" s="1"/>
  <c r="H47" i="29"/>
  <c r="L49" i="29"/>
  <c r="K49" i="29" s="1"/>
  <c r="F110" i="27"/>
  <c r="E138" i="27" s="1"/>
  <c r="I56" i="2" s="1"/>
  <c r="E134" i="15" s="1"/>
  <c r="F106" i="27"/>
  <c r="G106" i="27"/>
  <c r="F103" i="27"/>
  <c r="F104" i="27" s="1"/>
  <c r="G103" i="27"/>
  <c r="F111" i="27" l="1"/>
  <c r="F138" i="27" s="1"/>
  <c r="F108" i="27"/>
  <c r="G104" i="27"/>
  <c r="D138" i="27" l="1"/>
  <c r="E54" i="2" s="1"/>
  <c r="F109" i="27"/>
  <c r="D56" i="2" s="1"/>
  <c r="E133" i="15" l="1"/>
  <c r="C135" i="15" s="1"/>
  <c r="D54" i="2"/>
  <c r="E130" i="15" s="1"/>
  <c r="L56" i="2" l="1"/>
  <c r="K56" i="2" s="1"/>
  <c r="D58" i="2"/>
  <c r="L58" i="2" s="1"/>
  <c r="K58" i="2" s="1"/>
  <c r="O34" i="2"/>
  <c r="O33" i="2" s="1"/>
  <c r="O40" i="2"/>
  <c r="O37" i="2"/>
  <c r="O38" i="2"/>
  <c r="O39" i="2"/>
  <c r="O35" i="2"/>
  <c r="O36" i="2"/>
  <c r="N33" i="2" l="1"/>
  <c r="O46" i="2" a="1"/>
  <c r="O46" i="2" s="1"/>
  <c r="O45" i="2" s="1"/>
  <c r="O39" i="29"/>
  <c r="O37" i="29"/>
  <c r="O38" i="29"/>
  <c r="O42" i="29"/>
  <c r="O41" i="29"/>
  <c r="O40" i="29"/>
  <c r="N45"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<sst xmlns="http://schemas.openxmlformats.org/spreadsheetml/2006/main" count="1693" uniqueCount="1013">
  <si>
    <t>Treppenlauf - Auflager oben</t>
  </si>
  <si>
    <t>Treppenlauf - Auflager unten</t>
  </si>
  <si>
    <t>Podest</t>
  </si>
  <si>
    <t>Treppenlauf3D</t>
  </si>
  <si>
    <t>Podest3D</t>
  </si>
  <si>
    <t>bild1</t>
  </si>
  <si>
    <t>bild2</t>
  </si>
  <si>
    <t>bild3</t>
  </si>
  <si>
    <t>TreppenlaufBild</t>
  </si>
  <si>
    <t>PodestBild</t>
  </si>
  <si>
    <t>Typ B</t>
  </si>
  <si>
    <t>Typ F</t>
  </si>
  <si>
    <t>Typ T</t>
  </si>
  <si>
    <t>Typ Q</t>
  </si>
  <si>
    <t>Typ P</t>
  </si>
  <si>
    <t>Typ Z</t>
  </si>
  <si>
    <t>Treppenlauf</t>
  </si>
  <si>
    <t>Fehler</t>
  </si>
  <si>
    <t>Bitte zuerst Haftungsausschluss zustimmen!</t>
  </si>
  <si>
    <t>DE</t>
  </si>
  <si>
    <t>Bereich</t>
  </si>
  <si>
    <t>Auswahl</t>
  </si>
  <si>
    <t>EN</t>
  </si>
  <si>
    <t>CZ</t>
  </si>
  <si>
    <t>SL</t>
  </si>
  <si>
    <t>HR</t>
  </si>
  <si>
    <t>Allgemeine Infos</t>
  </si>
  <si>
    <t>Projektdaten</t>
  </si>
  <si>
    <t>Bauvorhaben</t>
  </si>
  <si>
    <t>Bauvorhaben-Nr.</t>
  </si>
  <si>
    <t>Bearbeiter</t>
  </si>
  <si>
    <t>Position</t>
  </si>
  <si>
    <t>Bauteil</t>
  </si>
  <si>
    <t>Anzahl</t>
  </si>
  <si>
    <t>Land</t>
  </si>
  <si>
    <t>Sprache</t>
  </si>
  <si>
    <t>Datum</t>
  </si>
  <si>
    <t>Treppenlauf (mit Podest)</t>
  </si>
  <si>
    <t>Nutzereingabe Lauf</t>
  </si>
  <si>
    <t>Allgemein</t>
  </si>
  <si>
    <t>System</t>
  </si>
  <si>
    <t>Brandschutz</t>
  </si>
  <si>
    <t>Fertigungsart</t>
  </si>
  <si>
    <t>Betongüte</t>
  </si>
  <si>
    <t>Geometrie</t>
  </si>
  <si>
    <t>Gesamtlänge</t>
  </si>
  <si>
    <t>Gesamtlänge hor.</t>
  </si>
  <si>
    <t>Gesamthöhe vert.</t>
  </si>
  <si>
    <t>Anzahl Steigungen</t>
  </si>
  <si>
    <t>Treppenauftritt</t>
  </si>
  <si>
    <t>Treppensteigung</t>
  </si>
  <si>
    <t>Laufdicke</t>
  </si>
  <si>
    <t>Laufbreite</t>
  </si>
  <si>
    <t>Anschlusshöhe unten</t>
  </si>
  <si>
    <t>Anschlusslänge unten</t>
  </si>
  <si>
    <t>Anschlusshöhe oben</t>
  </si>
  <si>
    <t>Anschlusslänge oben</t>
  </si>
  <si>
    <t>Lasten</t>
  </si>
  <si>
    <t>Fußbodenaufbau</t>
  </si>
  <si>
    <t>Nutzlast</t>
  </si>
  <si>
    <t>spez. Last Beton</t>
  </si>
  <si>
    <t>Volumen Beton</t>
  </si>
  <si>
    <t>Eigenlast Beton</t>
  </si>
  <si>
    <t>Gesamtlast</t>
  </si>
  <si>
    <t>Produkt</t>
  </si>
  <si>
    <t>Auflager unten</t>
  </si>
  <si>
    <t>Konsolhöhe unten</t>
  </si>
  <si>
    <t>Konsollänge unten</t>
  </si>
  <si>
    <t>Fugenweite unten</t>
  </si>
  <si>
    <t>Auflager oben</t>
  </si>
  <si>
    <t>Konsolhöhe oben</t>
  </si>
  <si>
    <t>Konsollänge oben</t>
  </si>
  <si>
    <t>Fugenweite oben</t>
  </si>
  <si>
    <t>Nutzereingabe Podest</t>
  </si>
  <si>
    <t xml:space="preserve">Podestlänge </t>
  </si>
  <si>
    <t xml:space="preserve">Podestbreite </t>
  </si>
  <si>
    <t>Position hintere Tronsole</t>
  </si>
  <si>
    <t>seitlich</t>
  </si>
  <si>
    <t>hinten</t>
  </si>
  <si>
    <t>Überstand vorne</t>
  </si>
  <si>
    <t>Überstand hinten</t>
  </si>
  <si>
    <t xml:space="preserve">Podeststärke </t>
  </si>
  <si>
    <t>Fugenbreite</t>
  </si>
  <si>
    <t>Last von "Treppenlauf" übernehmen</t>
  </si>
  <si>
    <r>
      <t>Maximallast Lauf [V</t>
    </r>
    <r>
      <rPr>
        <vertAlign val="subscript"/>
        <sz val="11"/>
        <color theme="1"/>
        <rFont val="Calibri"/>
        <family val="2"/>
        <scheme val="minor"/>
      </rPr>
      <t>ed</t>
    </r>
    <r>
      <rPr>
        <sz val="11"/>
        <color theme="1"/>
        <rFont val="Calibri"/>
        <family val="2"/>
        <scheme val="minor"/>
      </rPr>
      <t>]</t>
    </r>
  </si>
  <si>
    <r>
      <t>Ständige Last Lauf [G</t>
    </r>
    <r>
      <rPr>
        <vertAlign val="subscript"/>
        <sz val="11"/>
        <color theme="1"/>
        <rFont val="Calibri"/>
        <family val="2"/>
        <scheme val="minor"/>
      </rPr>
      <t>K</t>
    </r>
    <r>
      <rPr>
        <sz val="11"/>
        <color theme="1"/>
        <rFont val="Calibri"/>
        <family val="2"/>
        <scheme val="minor"/>
      </rPr>
      <t>]</t>
    </r>
  </si>
  <si>
    <t>Auflager Podest</t>
  </si>
  <si>
    <t>Treppenlauf Anschluss (siehe "Treppenlauf")</t>
  </si>
  <si>
    <t>Konsollänge</t>
  </si>
  <si>
    <t>Länge Vorsprung</t>
  </si>
  <si>
    <t>Konsolhöhe</t>
  </si>
  <si>
    <t>Output Lauf</t>
  </si>
  <si>
    <t>Auflagerkräfte</t>
  </si>
  <si>
    <t>Summe Auflagerkraft unten</t>
  </si>
  <si>
    <t>Summe Auflagerkraft oben</t>
  </si>
  <si>
    <t>(Erf. min. Podest-Konsolhöhe unten:</t>
  </si>
  <si>
    <t>(Erf. min. Podest-Konsolhöhe oben:</t>
  </si>
  <si>
    <t>Nachweis Übersicht</t>
  </si>
  <si>
    <t>Fugenplatte Lauf</t>
  </si>
  <si>
    <t>Fugenplatte Podest oben/unten</t>
  </si>
  <si>
    <t>Tronsole Typ:</t>
  </si>
  <si>
    <t>Treppenkonsole:</t>
  </si>
  <si>
    <t>Output Podest</t>
  </si>
  <si>
    <t>Eigenlast Gesamt</t>
  </si>
  <si>
    <t>Nutzlast Gesamt</t>
  </si>
  <si>
    <t>Auflagerkraft bei Lauf</t>
  </si>
  <si>
    <t>Auflagerkraft hinten</t>
  </si>
  <si>
    <t>(inklusive Auflast Treppenlauf)</t>
  </si>
  <si>
    <t>(bei negativen Werten abhebende Kräfte)</t>
  </si>
  <si>
    <t>Auflager bei der Treppe</t>
  </si>
  <si>
    <t>Nutzlast Treppenlauf</t>
  </si>
  <si>
    <t>Fugenplatte Podest</t>
  </si>
  <si>
    <t>Auflager hinten</t>
  </si>
  <si>
    <t>Tronsole</t>
  </si>
  <si>
    <t>Ausdruck Lauf/Podest</t>
  </si>
  <si>
    <t>Bemessung</t>
  </si>
  <si>
    <t>Ständige Lasten</t>
  </si>
  <si>
    <t>Lasten insgesamt (inkl. Veränderliche Lasten)</t>
  </si>
  <si>
    <t>Weiterführende Informationen und Hinweise sind aus der Technischen Information von Schöck Tronsole® zu entnehmen unter: https://www.schoeck.com/</t>
  </si>
  <si>
    <t>Die Ergebnisse des Bemmessungstools beziehen sich nur auf die Berechnung von Schöck Tronsole®.  Die Gesamtsituation muss vom Anwender auf Plausibilität geprüft werden!</t>
  </si>
  <si>
    <t>Bei der Anwendung sind auch die unte dem folgenden Link verfügbaren Bemessungsgrundlagen und Hinweise zu beachten: https://www.schoeck.com/view/14058</t>
  </si>
  <si>
    <t>Hinweise:</t>
  </si>
  <si>
    <t>Grundlagen:</t>
  </si>
  <si>
    <t>Bauphysik</t>
  </si>
  <si>
    <t>Trittschallpegeldifferenz ΔLw*</t>
  </si>
  <si>
    <t>Schallbrückenfreie Fugenausbildung zwischen Treppenläufen/-podesten und Wänden. Alle Schallmessungen der tragenden Trittschallelemente wurden im System mit der Schöck Tronsole® Typ L durchgeführt.</t>
  </si>
  <si>
    <t>Eingabewerte</t>
  </si>
  <si>
    <t>Ergebnisse</t>
  </si>
  <si>
    <t>Veränderliche Lasten</t>
  </si>
  <si>
    <t>Nutzlast Podest</t>
  </si>
  <si>
    <t>Gesamtlast ohne Sicherheit</t>
  </si>
  <si>
    <t>Gesamtlast mit Sicherheit</t>
  </si>
  <si>
    <t>Eigenlast Fußbodenaufbau</t>
  </si>
  <si>
    <t>Ermittelte Lasten</t>
  </si>
  <si>
    <t>Bemessung nicht möglich! Bitte überprüfen Sie Ihre Eingabe!</t>
  </si>
  <si>
    <t>Eigenlast Treppenlauf</t>
  </si>
  <si>
    <t>Gesamtlast Treppenlauf</t>
  </si>
  <si>
    <t>Gesamtlast Podest</t>
  </si>
  <si>
    <t>Skizze &amp; Lastannahme</t>
  </si>
  <si>
    <t>Statische Nachweise: Typ F: DIBt Z-15.7-359; Typ P: DIBt Z-15.7-349; 
Typ Q: DIBt Z-15.7-311; Typ T: DIBt Z-15.7-310; Typ Z: Typenprüfung S-N/130257</t>
  </si>
  <si>
    <t>Haftungsausschluss</t>
  </si>
  <si>
    <t>Index</t>
  </si>
  <si>
    <t>Bezeichnung</t>
  </si>
  <si>
    <t>ja/nein</t>
  </si>
  <si>
    <t>Meldung</t>
  </si>
  <si>
    <t>Podestlänge unten zu klein für Typ F</t>
  </si>
  <si>
    <r>
      <t xml:space="preserve">Typ F: [L2] </t>
    </r>
    <r>
      <rPr>
        <sz val="11"/>
        <color theme="1"/>
        <rFont val="Arial"/>
        <family val="2"/>
      </rPr>
      <t>≥</t>
    </r>
    <r>
      <rPr>
        <sz val="11"/>
        <color theme="1"/>
        <rFont val="Calibri"/>
        <family val="2"/>
      </rPr>
      <t xml:space="preserve"> [L4]</t>
    </r>
  </si>
  <si>
    <t>Podestlänge oben zu gering für ausgewählten Typ</t>
  </si>
  <si>
    <r>
      <t>[L</t>
    </r>
    <r>
      <rPr>
        <vertAlign val="subscript"/>
        <sz val="11"/>
        <color theme="1"/>
        <rFont val="Calibri"/>
        <family val="2"/>
        <scheme val="minor"/>
      </rPr>
      <t>3</t>
    </r>
    <r>
      <rPr>
        <sz val="11"/>
        <color theme="1"/>
        <rFont val="Calibri"/>
        <family val="2"/>
        <scheme val="minor"/>
      </rPr>
      <t>]: Typ F: ([L</t>
    </r>
    <r>
      <rPr>
        <vertAlign val="subscript"/>
        <sz val="11"/>
        <color theme="1"/>
        <rFont val="Calibri"/>
        <family val="2"/>
        <scheme val="minor"/>
      </rPr>
      <t>5]</t>
    </r>
    <r>
      <rPr>
        <sz val="11"/>
        <color theme="1"/>
        <rFont val="Calibri"/>
        <family val="2"/>
        <scheme val="minor"/>
      </rPr>
      <t xml:space="preserve"> + 13) ≤ [L</t>
    </r>
    <r>
      <rPr>
        <vertAlign val="subscript"/>
        <sz val="11"/>
        <color theme="1"/>
        <rFont val="Calibri"/>
        <family val="2"/>
        <scheme val="minor"/>
      </rPr>
      <t>3]</t>
    </r>
    <r>
      <rPr>
        <sz val="11"/>
        <color theme="1"/>
        <rFont val="Calibri"/>
        <family val="2"/>
        <scheme val="minor"/>
      </rPr>
      <t xml:space="preserve"> ≤ 200; Typ T: 14 ≤ [L</t>
    </r>
    <r>
      <rPr>
        <vertAlign val="subscript"/>
        <sz val="11"/>
        <color theme="1"/>
        <rFont val="Calibri"/>
        <family val="2"/>
        <scheme val="minor"/>
      </rPr>
      <t>3]</t>
    </r>
    <r>
      <rPr>
        <sz val="11"/>
        <color theme="1"/>
        <rFont val="Calibri"/>
        <family val="2"/>
        <scheme val="minor"/>
      </rPr>
      <t xml:space="preserve"> ≤ 200; Typ Z: 61 ≤ [L</t>
    </r>
    <r>
      <rPr>
        <vertAlign val="subscript"/>
        <sz val="11"/>
        <color theme="1"/>
        <rFont val="Calibri"/>
        <family val="2"/>
        <scheme val="minor"/>
      </rPr>
      <t>3]</t>
    </r>
    <r>
      <rPr>
        <sz val="11"/>
        <color theme="1"/>
        <rFont val="Calibri"/>
        <family val="2"/>
        <scheme val="minor"/>
      </rPr>
      <t xml:space="preserve"> ≤ 200; Typ P: 56 ≤ [L</t>
    </r>
    <r>
      <rPr>
        <vertAlign val="subscript"/>
        <sz val="11"/>
        <color theme="1"/>
        <rFont val="Calibri"/>
        <family val="2"/>
        <scheme val="minor"/>
      </rPr>
      <t>3]</t>
    </r>
    <r>
      <rPr>
        <sz val="11"/>
        <color theme="1"/>
        <rFont val="Calibri"/>
        <family val="2"/>
        <scheme val="minor"/>
      </rPr>
      <t xml:space="preserve"> ≤ 200</t>
    </r>
  </si>
  <si>
    <t>Konsolhöhe unten &gt; Podesthöhe unten</t>
  </si>
  <si>
    <r>
      <t xml:space="preserve">[H4] </t>
    </r>
    <r>
      <rPr>
        <sz val="11"/>
        <color theme="1"/>
        <rFont val="Arial"/>
        <family val="2"/>
      </rPr>
      <t>≤</t>
    </r>
    <r>
      <rPr>
        <sz val="11"/>
        <color theme="1"/>
        <rFont val="Calibri"/>
        <family val="2"/>
      </rPr>
      <t xml:space="preserve"> [H2]</t>
    </r>
  </si>
  <si>
    <t>Konsolhöhe oben &gt; Podesthöhe oben</t>
  </si>
  <si>
    <r>
      <t xml:space="preserve">[H5] </t>
    </r>
    <r>
      <rPr>
        <sz val="11"/>
        <color theme="1"/>
        <rFont val="Arial"/>
        <family val="2"/>
      </rPr>
      <t>≤</t>
    </r>
    <r>
      <rPr>
        <sz val="11"/>
        <color theme="1"/>
        <rFont val="Calibri"/>
        <family val="2"/>
      </rPr>
      <t xml:space="preserve"> [H3]</t>
    </r>
  </si>
  <si>
    <t>Ortbeton bei Typ F nicht erlaubt</t>
  </si>
  <si>
    <t>Typ F: nur Fertigteil / only precast</t>
  </si>
  <si>
    <t>Betongüte zu gering für Typ F</t>
  </si>
  <si>
    <r>
      <t xml:space="preserve">Typ F: min. </t>
    </r>
    <r>
      <rPr>
        <sz val="11"/>
        <color theme="1"/>
        <rFont val="Arial"/>
        <family val="2"/>
      </rPr>
      <t>≥</t>
    </r>
    <r>
      <rPr>
        <sz val="11"/>
        <color theme="1"/>
        <rFont val="Calibri"/>
        <family val="2"/>
      </rPr>
      <t xml:space="preserve"> C30/37</t>
    </r>
  </si>
  <si>
    <t>Auswahl Konsolhöhe Typ F unten nicht zulässig</t>
  </si>
  <si>
    <t>Auswahl Konsolhöhe Typ F oben nicht zulässig</t>
  </si>
  <si>
    <t>Podesthöhe unten nicht zulässig für gewählten Typ</t>
  </si>
  <si>
    <t>Podesthöhe oben nicht zulässig für gewählten Typ</t>
  </si>
  <si>
    <t>Podest oben zu kurz oder zu niedrig</t>
  </si>
  <si>
    <r>
      <t xml:space="preserve">[H3] ▲ / [L3] </t>
    </r>
    <r>
      <rPr>
        <sz val="11"/>
        <color theme="1"/>
        <rFont val="Arial"/>
        <family val="2"/>
      </rPr>
      <t>▲</t>
    </r>
    <r>
      <rPr>
        <sz val="11"/>
        <color theme="1"/>
        <rFont val="Calibri"/>
        <family val="2"/>
        <scheme val="minor"/>
      </rPr>
      <t xml:space="preserve"> / [TL] </t>
    </r>
    <r>
      <rPr>
        <sz val="11"/>
        <color theme="1"/>
        <rFont val="Arial"/>
        <family val="2"/>
      </rPr>
      <t>▼</t>
    </r>
  </si>
  <si>
    <t>Überstand vorne n.i.O.</t>
  </si>
  <si>
    <t>Typ Z: [b1] ≥ 12,6 + [Lk]; Typ P:  [b1] ≥ 20 + [Lk]</t>
  </si>
  <si>
    <t>Überstand hinten n.i.O. hintere Tronsole seitlich</t>
  </si>
  <si>
    <t>Typ Z: [b3] ≥ 12,6; Typ P:  [b3] ≥ 20</t>
  </si>
  <si>
    <t>Überstand hinten n.i.O. hintere Tronsole hinten</t>
  </si>
  <si>
    <t>Typ Z: [L] - 2* [b3] ≥ 35,6; Typ P: [B] - 2* [b3] ≥ 40</t>
  </si>
  <si>
    <t>Achsabstand n.i.O.</t>
  </si>
  <si>
    <t>Typ Z: [B] - [b1] - [b3] ≥ 35,6; Typ P: [B] - [b1] - [b3] ≥ 40</t>
  </si>
  <si>
    <t>Konsolhöhe nicht zulässig</t>
  </si>
  <si>
    <t>[Hk] ≤ [H]</t>
  </si>
  <si>
    <t>Laufbreite n.i.o.</t>
  </si>
  <si>
    <t>[LB]*2 ≤ [L]</t>
  </si>
  <si>
    <t>Fugenbreite n.i.O.</t>
  </si>
  <si>
    <t>Typ Z: [F] = 1,5; Typ P: 1,5 ≤ [F] ≤ 5</t>
  </si>
  <si>
    <t>Podeststärke Brandschutz Typ P</t>
  </si>
  <si>
    <t>Typ P - R90: [H] ≥ 18</t>
  </si>
  <si>
    <r>
      <t>Schöck Tronsole</t>
    </r>
    <r>
      <rPr>
        <b/>
        <vertAlign val="superscript"/>
        <sz val="12"/>
        <color rgb="FF00437B"/>
        <rFont val="Arial"/>
        <family val="2"/>
      </rPr>
      <t>®</t>
    </r>
  </si>
  <si>
    <t>1.1</t>
  </si>
  <si>
    <t>1.3</t>
  </si>
  <si>
    <t>R 30</t>
  </si>
  <si>
    <t>nicht definiert</t>
  </si>
  <si>
    <t>≥ C30/37</t>
  </si>
  <si>
    <t>kN</t>
  </si>
  <si>
    <t>1.2</t>
  </si>
  <si>
    <t>[L]</t>
  </si>
  <si>
    <t>cm</t>
  </si>
  <si>
    <r>
      <t>[L</t>
    </r>
    <r>
      <rPr>
        <vertAlign val="subscript"/>
        <sz val="10"/>
        <color rgb="FF00437B"/>
        <rFont val="Arial"/>
        <family val="2"/>
      </rPr>
      <t>H</t>
    </r>
    <r>
      <rPr>
        <sz val="10"/>
        <color rgb="FF00437B"/>
        <rFont val="Arial"/>
        <family val="2"/>
      </rPr>
      <t>]</t>
    </r>
  </si>
  <si>
    <r>
      <t>[L</t>
    </r>
    <r>
      <rPr>
        <vertAlign val="subscript"/>
        <sz val="10"/>
        <color rgb="FF00437B"/>
        <rFont val="Arial"/>
        <family val="2"/>
      </rPr>
      <t>V</t>
    </r>
    <r>
      <rPr>
        <sz val="10"/>
        <color rgb="FF00437B"/>
        <rFont val="Arial"/>
        <family val="2"/>
      </rPr>
      <t>]</t>
    </r>
  </si>
  <si>
    <t>1.4</t>
  </si>
  <si>
    <t>[n]</t>
  </si>
  <si>
    <r>
      <t>[T</t>
    </r>
    <r>
      <rPr>
        <vertAlign val="subscript"/>
        <sz val="10"/>
        <color rgb="FF00437B"/>
        <rFont val="Arial"/>
        <family val="2"/>
      </rPr>
      <t>L</t>
    </r>
    <r>
      <rPr>
        <sz val="10"/>
        <color rgb="FF00437B"/>
        <rFont val="Arial"/>
        <family val="2"/>
      </rPr>
      <t>]</t>
    </r>
  </si>
  <si>
    <r>
      <t>[H</t>
    </r>
    <r>
      <rPr>
        <vertAlign val="subscript"/>
        <sz val="10"/>
        <color rgb="FF00437B"/>
        <rFont val="Arial"/>
        <family val="2"/>
      </rPr>
      <t>4</t>
    </r>
    <r>
      <rPr>
        <sz val="10"/>
        <color rgb="FF00437B"/>
        <rFont val="Arial"/>
        <family val="2"/>
      </rPr>
      <t>]</t>
    </r>
  </si>
  <si>
    <r>
      <t>[T</t>
    </r>
    <r>
      <rPr>
        <vertAlign val="subscript"/>
        <sz val="10"/>
        <color rgb="FF00437B"/>
        <rFont val="Arial"/>
        <family val="2"/>
      </rPr>
      <t>H</t>
    </r>
    <r>
      <rPr>
        <sz val="10"/>
        <color rgb="FF00437B"/>
        <rFont val="Arial"/>
        <family val="2"/>
      </rPr>
      <t>]</t>
    </r>
  </si>
  <si>
    <r>
      <t>[L</t>
    </r>
    <r>
      <rPr>
        <vertAlign val="subscript"/>
        <sz val="10"/>
        <color rgb="FF00437B"/>
        <rFont val="Arial"/>
        <family val="2"/>
      </rPr>
      <t>4</t>
    </r>
    <r>
      <rPr>
        <sz val="10"/>
        <color rgb="FF00437B"/>
        <rFont val="Arial"/>
        <family val="2"/>
      </rPr>
      <t>]</t>
    </r>
  </si>
  <si>
    <r>
      <t>[H</t>
    </r>
    <r>
      <rPr>
        <vertAlign val="subscript"/>
        <sz val="10"/>
        <color rgb="FF00437B"/>
        <rFont val="Arial"/>
        <family val="2"/>
      </rPr>
      <t>1</t>
    </r>
    <r>
      <rPr>
        <sz val="10"/>
        <color rgb="FF00437B"/>
        <rFont val="Arial"/>
        <family val="2"/>
      </rPr>
      <t>]</t>
    </r>
  </si>
  <si>
    <r>
      <t>[F</t>
    </r>
    <r>
      <rPr>
        <vertAlign val="subscript"/>
        <sz val="10"/>
        <color rgb="FF00437B"/>
        <rFont val="Arial"/>
        <family val="2"/>
      </rPr>
      <t>1</t>
    </r>
    <r>
      <rPr>
        <sz val="10"/>
        <color rgb="FF00437B"/>
        <rFont val="Arial"/>
        <family val="2"/>
      </rPr>
      <t>]</t>
    </r>
  </si>
  <si>
    <t>[B]</t>
  </si>
  <si>
    <r>
      <t>[H</t>
    </r>
    <r>
      <rPr>
        <vertAlign val="subscript"/>
        <sz val="10"/>
        <color rgb="FF00437B"/>
        <rFont val="Arial"/>
        <family val="2"/>
      </rPr>
      <t>2</t>
    </r>
    <r>
      <rPr>
        <sz val="10"/>
        <color rgb="FF00437B"/>
        <rFont val="Arial"/>
        <family val="2"/>
      </rPr>
      <t>]</t>
    </r>
  </si>
  <si>
    <r>
      <t>[H</t>
    </r>
    <r>
      <rPr>
        <vertAlign val="subscript"/>
        <sz val="10"/>
        <color rgb="FF00437B"/>
        <rFont val="Arial"/>
        <family val="2"/>
      </rPr>
      <t>5</t>
    </r>
    <r>
      <rPr>
        <sz val="10"/>
        <color rgb="FF00437B"/>
        <rFont val="Arial"/>
        <family val="2"/>
      </rPr>
      <t>]</t>
    </r>
  </si>
  <si>
    <r>
      <t>[L</t>
    </r>
    <r>
      <rPr>
        <vertAlign val="subscript"/>
        <sz val="10"/>
        <color rgb="FF00437B"/>
        <rFont val="Arial"/>
        <family val="2"/>
      </rPr>
      <t>2</t>
    </r>
    <r>
      <rPr>
        <sz val="10"/>
        <color rgb="FF00437B"/>
        <rFont val="Arial"/>
        <family val="2"/>
      </rPr>
      <t>]</t>
    </r>
  </si>
  <si>
    <r>
      <t>[L</t>
    </r>
    <r>
      <rPr>
        <vertAlign val="subscript"/>
        <sz val="10"/>
        <color rgb="FF00437B"/>
        <rFont val="Arial"/>
        <family val="2"/>
      </rPr>
      <t>5</t>
    </r>
    <r>
      <rPr>
        <sz val="10"/>
        <color rgb="FF00437B"/>
        <rFont val="Arial"/>
        <family val="2"/>
      </rPr>
      <t>]</t>
    </r>
  </si>
  <si>
    <r>
      <t>[H</t>
    </r>
    <r>
      <rPr>
        <vertAlign val="subscript"/>
        <sz val="10"/>
        <color rgb="FF00437B"/>
        <rFont val="Arial"/>
        <family val="2"/>
      </rPr>
      <t>3</t>
    </r>
    <r>
      <rPr>
        <sz val="10"/>
        <color rgb="FF00437B"/>
        <rFont val="Arial"/>
        <family val="2"/>
      </rPr>
      <t>]</t>
    </r>
  </si>
  <si>
    <r>
      <t>[F</t>
    </r>
    <r>
      <rPr>
        <vertAlign val="subscript"/>
        <sz val="10"/>
        <color rgb="FF00437B"/>
        <rFont val="Arial"/>
        <family val="2"/>
      </rPr>
      <t>2</t>
    </r>
    <r>
      <rPr>
        <sz val="10"/>
        <color rgb="FF00437B"/>
        <rFont val="Arial"/>
        <family val="2"/>
      </rPr>
      <t>]</t>
    </r>
  </si>
  <si>
    <r>
      <t>[L</t>
    </r>
    <r>
      <rPr>
        <vertAlign val="subscript"/>
        <sz val="10"/>
        <color rgb="FF00437B"/>
        <rFont val="Arial"/>
        <family val="2"/>
      </rPr>
      <t>3</t>
    </r>
    <r>
      <rPr>
        <sz val="10"/>
        <color rgb="FF00437B"/>
        <rFont val="Arial"/>
        <family val="2"/>
      </rPr>
      <t>]</t>
    </r>
  </si>
  <si>
    <t>2.</t>
  </si>
  <si>
    <t>2.1</t>
  </si>
  <si>
    <r>
      <t>(G</t>
    </r>
    <r>
      <rPr>
        <b/>
        <vertAlign val="subscript"/>
        <sz val="12"/>
        <color rgb="FF00437B"/>
        <rFont val="Arial"/>
        <family val="2"/>
      </rPr>
      <t>k</t>
    </r>
    <r>
      <rPr>
        <b/>
        <sz val="12"/>
        <color rgb="FF00437B"/>
        <rFont val="Arial"/>
        <family val="2"/>
      </rPr>
      <t>)</t>
    </r>
  </si>
  <si>
    <t>2.2</t>
  </si>
  <si>
    <r>
      <t>(V</t>
    </r>
    <r>
      <rPr>
        <b/>
        <vertAlign val="subscript"/>
        <sz val="12"/>
        <color rgb="FF00437B"/>
        <rFont val="Arial"/>
        <family val="2"/>
      </rPr>
      <t>Ed</t>
    </r>
    <r>
      <rPr>
        <b/>
        <sz val="12"/>
        <color rgb="FF00437B"/>
        <rFont val="Arial"/>
        <family val="2"/>
      </rPr>
      <t>)</t>
    </r>
  </si>
  <si>
    <t>3.</t>
  </si>
  <si>
    <r>
      <t>V</t>
    </r>
    <r>
      <rPr>
        <b/>
        <vertAlign val="subscript"/>
        <sz val="10"/>
        <color rgb="FF00437B"/>
        <rFont val="Arial"/>
        <family val="2"/>
      </rPr>
      <t>Ed</t>
    </r>
    <r>
      <rPr>
        <b/>
        <sz val="10"/>
        <color rgb="FF00437B"/>
        <rFont val="Arial"/>
        <family val="2"/>
      </rPr>
      <t xml:space="preserve"> =</t>
    </r>
  </si>
  <si>
    <t>≤</t>
  </si>
  <si>
    <r>
      <t>V</t>
    </r>
    <r>
      <rPr>
        <b/>
        <vertAlign val="subscript"/>
        <sz val="10"/>
        <color rgb="FF00437B"/>
        <rFont val="Arial"/>
        <family val="2"/>
      </rPr>
      <t>Rd</t>
    </r>
    <r>
      <rPr>
        <b/>
        <sz val="10"/>
        <color rgb="FF00437B"/>
        <rFont val="Arial"/>
        <family val="2"/>
      </rPr>
      <t xml:space="preserve"> =</t>
    </r>
  </si>
  <si>
    <t>kN/m</t>
  </si>
  <si>
    <t>1. Definition Konsol-/ Anschlusshöhe unten</t>
  </si>
  <si>
    <t>Typ F Höhe</t>
  </si>
  <si>
    <t>Typ T Höhe</t>
  </si>
  <si>
    <t>Vorauswahl Höhe</t>
  </si>
  <si>
    <t>Auswahl Final</t>
  </si>
  <si>
    <t>2. Definition Konsol-/ Anschlusstiefe unten</t>
  </si>
  <si>
    <t>Typ F Tiefe</t>
  </si>
  <si>
    <t>3. Definition Konsol-/ Anschlusshöhe oben</t>
  </si>
  <si>
    <t>4. Definition Konsol-/ Anschlusstiefe oben</t>
  </si>
  <si>
    <t>5. Podesthöhe</t>
  </si>
  <si>
    <t>Vorauswahl Final unten</t>
  </si>
  <si>
    <t>Vorauswahl Final oben</t>
  </si>
  <si>
    <t>Auswahl Final unten</t>
  </si>
  <si>
    <t>Auswahl Final oben</t>
  </si>
  <si>
    <t>min</t>
  </si>
  <si>
    <t>max</t>
  </si>
  <si>
    <t>6. Fugenweite</t>
  </si>
  <si>
    <t>Vorauswahl Fuge unten</t>
  </si>
  <si>
    <t>Vorauswahl Fuge oben</t>
  </si>
  <si>
    <t>Auswahl Fuge unten</t>
  </si>
  <si>
    <t>Auswahl Fuge oben</t>
  </si>
  <si>
    <t>min.</t>
  </si>
  <si>
    <t>max.</t>
  </si>
  <si>
    <t>7. Eingabe-Fehlersuche</t>
  </si>
  <si>
    <t>7. Eingabe Podest</t>
  </si>
  <si>
    <t>Fuge max</t>
  </si>
  <si>
    <t>Überstand vorne min</t>
  </si>
  <si>
    <t>Überstand hinten min</t>
  </si>
  <si>
    <t>Typ P R90 min. Lauf</t>
  </si>
  <si>
    <t>Podestlänge oben min</t>
  </si>
  <si>
    <t>Dateneingabe</t>
  </si>
  <si>
    <t>Abkürzung</t>
  </si>
  <si>
    <t>Eingabe/Wert</t>
  </si>
  <si>
    <t>n</t>
  </si>
  <si>
    <t>Tl</t>
  </si>
  <si>
    <t>Th</t>
  </si>
  <si>
    <t>H</t>
  </si>
  <si>
    <t>B</t>
  </si>
  <si>
    <t>Podestdicke unten</t>
  </si>
  <si>
    <t>Auh</t>
  </si>
  <si>
    <t>Podestlänge unten</t>
  </si>
  <si>
    <t>Sul</t>
  </si>
  <si>
    <t>Podestdicke oben</t>
  </si>
  <si>
    <t>Aoh</t>
  </si>
  <si>
    <t>Podestlänge oben</t>
  </si>
  <si>
    <t>Sol</t>
  </si>
  <si>
    <t>Kuh</t>
  </si>
  <si>
    <t>Kut</t>
  </si>
  <si>
    <t>Koh</t>
  </si>
  <si>
    <t>Kot</t>
  </si>
  <si>
    <t>Berechnung Zwischenwerte</t>
  </si>
  <si>
    <t>Steigungswinkel Lauf</t>
  </si>
  <si>
    <t>alpha</t>
  </si>
  <si>
    <t>Steigungswinkel Lauf in Grad</t>
  </si>
  <si>
    <t>Laufplattendickevertikal</t>
  </si>
  <si>
    <t>Hq</t>
  </si>
  <si>
    <t>Bauteil-Länge horizontal</t>
  </si>
  <si>
    <t>Lh</t>
  </si>
  <si>
    <t>Bauteil-Länge vertikal</t>
  </si>
  <si>
    <t>Lv</t>
  </si>
  <si>
    <t>Treppenoberfläche</t>
  </si>
  <si>
    <t>Berechnung Eigenlast Beton</t>
  </si>
  <si>
    <t>Eigenlast Podest unten</t>
  </si>
  <si>
    <t>Eigenlast Lauf</t>
  </si>
  <si>
    <t>Eigenlast Podest oben</t>
  </si>
  <si>
    <t>Eigenlast Z-Konsolen unten</t>
  </si>
  <si>
    <t>Eigenlast Z-Konsolen oben</t>
  </si>
  <si>
    <t>Eigenlast Beton gesamt</t>
  </si>
  <si>
    <t>Berechnung Eigenlast Belag</t>
  </si>
  <si>
    <t>Eigenlast Belag</t>
  </si>
  <si>
    <t>Berechnung Verkehrslast</t>
  </si>
  <si>
    <t>Verkehrslast</t>
  </si>
  <si>
    <t>Berechnung Positionen der Lasten</t>
  </si>
  <si>
    <t>charakteristisch ohne Sicherheit</t>
  </si>
  <si>
    <t>mit Sicherheit</t>
  </si>
  <si>
    <t>Lastposition horizontal</t>
  </si>
  <si>
    <t>Last</t>
  </si>
  <si>
    <t>Gewichteter SP</t>
  </si>
  <si>
    <t>Podest unten</t>
  </si>
  <si>
    <t>x1,35</t>
  </si>
  <si>
    <t>Lauf</t>
  </si>
  <si>
    <t>Podest oben</t>
  </si>
  <si>
    <t>Belag</t>
  </si>
  <si>
    <t>Z-Konsole unten</t>
  </si>
  <si>
    <t>Z-Konsole oben</t>
  </si>
  <si>
    <t>x1,5</t>
  </si>
  <si>
    <t>Lagerpositionen</t>
  </si>
  <si>
    <t>XuB</t>
  </si>
  <si>
    <t>XuF</t>
  </si>
  <si>
    <t>XuT</t>
  </si>
  <si>
    <t>XuZ</t>
  </si>
  <si>
    <t>XuP</t>
  </si>
  <si>
    <t>XoF</t>
  </si>
  <si>
    <t>XoT</t>
  </si>
  <si>
    <t>XoZ</t>
  </si>
  <si>
    <t>XoP</t>
  </si>
  <si>
    <t>Summe Ved</t>
  </si>
  <si>
    <t>Auflagerkraft unten</t>
  </si>
  <si>
    <t>Auflagerkraft oben</t>
  </si>
  <si>
    <t>Summe Gk</t>
  </si>
  <si>
    <t>1. Lastermittlung</t>
  </si>
  <si>
    <t>1.1.1</t>
  </si>
  <si>
    <t>Beton</t>
  </si>
  <si>
    <t>kN/m³</t>
  </si>
  <si>
    <t xml:space="preserve">1.1.2 Teilsicherheitsbeiwerte </t>
  </si>
  <si>
    <r>
      <t>Ständige Last [γ</t>
    </r>
    <r>
      <rPr>
        <vertAlign val="subscript"/>
        <sz val="9"/>
        <color theme="1"/>
        <rFont val="Arial"/>
        <family val="2"/>
      </rPr>
      <t>G</t>
    </r>
    <r>
      <rPr>
        <sz val="9"/>
        <color theme="1"/>
        <rFont val="Arial"/>
        <family val="2"/>
      </rPr>
      <t>]</t>
    </r>
  </si>
  <si>
    <t>kN/m²</t>
  </si>
  <si>
    <r>
      <t>Veränderliche Last [γ</t>
    </r>
    <r>
      <rPr>
        <vertAlign val="subscript"/>
        <sz val="9"/>
        <color theme="1"/>
        <rFont val="Arial"/>
        <family val="2"/>
      </rPr>
      <t>Q</t>
    </r>
    <r>
      <rPr>
        <sz val="9"/>
        <color theme="1"/>
        <rFont val="Arial"/>
        <family val="2"/>
      </rPr>
      <t>]</t>
    </r>
  </si>
  <si>
    <t>Lauflänge [L]</t>
  </si>
  <si>
    <t xml:space="preserve">m </t>
  </si>
  <si>
    <t>Laufbreite [B]</t>
  </si>
  <si>
    <t>m</t>
  </si>
  <si>
    <r>
      <t>Lauflänge horizontal [L</t>
    </r>
    <r>
      <rPr>
        <vertAlign val="subscript"/>
        <sz val="9"/>
        <rFont val="Arial"/>
        <family val="2"/>
      </rPr>
      <t>H</t>
    </r>
    <r>
      <rPr>
        <sz val="9"/>
        <rFont val="Arial"/>
        <family val="2"/>
      </rPr>
      <t>]</t>
    </r>
  </si>
  <si>
    <r>
      <t>Trittlänge [T</t>
    </r>
    <r>
      <rPr>
        <vertAlign val="subscript"/>
        <sz val="9"/>
        <rFont val="Arial"/>
        <family val="2"/>
      </rPr>
      <t>L</t>
    </r>
    <r>
      <rPr>
        <sz val="9"/>
        <rFont val="Arial"/>
        <family val="2"/>
      </rPr>
      <t>]</t>
    </r>
  </si>
  <si>
    <r>
      <t>Lauflänge vertikal [L</t>
    </r>
    <r>
      <rPr>
        <vertAlign val="subscript"/>
        <sz val="9"/>
        <rFont val="Arial"/>
        <family val="2"/>
      </rPr>
      <t>v</t>
    </r>
    <r>
      <rPr>
        <sz val="9"/>
        <rFont val="Arial"/>
        <family val="2"/>
      </rPr>
      <t>]</t>
    </r>
  </si>
  <si>
    <r>
      <t>Tritthöhe [T</t>
    </r>
    <r>
      <rPr>
        <vertAlign val="subscript"/>
        <sz val="9"/>
        <rFont val="Arial"/>
        <family val="2"/>
      </rPr>
      <t>H</t>
    </r>
    <r>
      <rPr>
        <sz val="9"/>
        <rFont val="Arial"/>
        <family val="2"/>
      </rPr>
      <t>]</t>
    </r>
  </si>
  <si>
    <t>Laufstärke [H]</t>
  </si>
  <si>
    <t>Anzahl an Stufen [n]</t>
  </si>
  <si>
    <t>Stk</t>
  </si>
  <si>
    <t>Anschluss unten</t>
  </si>
  <si>
    <t>Konsolhöhe/Anschlusshöhe</t>
  </si>
  <si>
    <t>mm</t>
  </si>
  <si>
    <t>Konsoltiefe</t>
  </si>
  <si>
    <t>Anschluss oben</t>
  </si>
  <si>
    <t>1.6</t>
  </si>
  <si>
    <t>V=</t>
  </si>
  <si>
    <t>(γG * (Eigengewicht + Fußbodenaufbau) + γQ * Nutzlast)</t>
  </si>
  <si>
    <t>1.7</t>
  </si>
  <si>
    <t>Auflagerlast unten</t>
  </si>
  <si>
    <t>Ved=</t>
  </si>
  <si>
    <t>Auflagerlast oben</t>
  </si>
  <si>
    <t>2. Tragfähigkeiten</t>
  </si>
  <si>
    <t>Tragfähigkeit Konsole Treppenlauf Typ F</t>
  </si>
  <si>
    <t>Treppenkonsole in Verbindung mit Schöck Tronsole® Typ F</t>
  </si>
  <si>
    <r>
      <t>Betongüte ≥ C30/37, Tragfähigkeit V</t>
    </r>
    <r>
      <rPr>
        <b/>
        <vertAlign val="subscript"/>
        <sz val="9"/>
        <color theme="1"/>
        <rFont val="Arial"/>
        <family val="2"/>
      </rPr>
      <t xml:space="preserve">Rd </t>
    </r>
    <r>
      <rPr>
        <b/>
        <sz val="9"/>
        <color theme="1"/>
        <rFont val="Arial"/>
        <family val="2"/>
      </rPr>
      <t>in kN/m</t>
    </r>
  </si>
  <si>
    <r>
      <t>Konsolhöhe h</t>
    </r>
    <r>
      <rPr>
        <b/>
        <vertAlign val="subscript"/>
        <sz val="9"/>
        <color theme="1"/>
        <rFont val="Arial"/>
        <family val="2"/>
      </rPr>
      <t>k,T</t>
    </r>
    <r>
      <rPr>
        <b/>
        <sz val="9"/>
        <color theme="1"/>
        <rFont val="Arial"/>
        <family val="2"/>
      </rPr>
      <t xml:space="preserve"> 
R 90</t>
    </r>
  </si>
  <si>
    <r>
      <t>Konsolhöhe h</t>
    </r>
    <r>
      <rPr>
        <b/>
        <vertAlign val="subscript"/>
        <sz val="9"/>
        <color theme="1"/>
        <rFont val="Arial"/>
        <family val="2"/>
      </rPr>
      <t>k,T</t>
    </r>
    <r>
      <rPr>
        <b/>
        <sz val="9"/>
        <color theme="1"/>
        <rFont val="Arial"/>
        <family val="2"/>
      </rPr>
      <t xml:space="preserve"> 
R 30</t>
    </r>
  </si>
  <si>
    <r>
      <t>Konsollänge K</t>
    </r>
    <r>
      <rPr>
        <b/>
        <vertAlign val="subscript"/>
        <sz val="9"/>
        <color theme="1"/>
        <rFont val="Arial"/>
        <family val="2"/>
      </rPr>
      <t>T</t>
    </r>
  </si>
  <si>
    <r>
      <t>H</t>
    </r>
    <r>
      <rPr>
        <b/>
        <vertAlign val="subscript"/>
        <sz val="9"/>
        <color theme="1"/>
        <rFont val="Arial"/>
        <family val="2"/>
      </rPr>
      <t>Rd</t>
    </r>
  </si>
  <si>
    <t>[mm]</t>
  </si>
  <si>
    <t>[kn/m]</t>
  </si>
  <si>
    <t>n.v.</t>
  </si>
  <si>
    <t>± 3,8</t>
  </si>
  <si>
    <t>Auswahl Referenz-Konsolhöhe unten</t>
  </si>
  <si>
    <t>Auswahl Referenz-Konsolhöhe oben</t>
  </si>
  <si>
    <t>Podestkonsole in Verbindung mit Schöck Tronsole® Typ F</t>
  </si>
  <si>
    <r>
      <t>Betongüte ≥ C20/25, Tragfähigkeit V</t>
    </r>
    <r>
      <rPr>
        <b/>
        <vertAlign val="subscript"/>
        <sz val="9"/>
        <color theme="1"/>
        <rFont val="Arial"/>
        <family val="2"/>
      </rPr>
      <t xml:space="preserve">Rd </t>
    </r>
    <r>
      <rPr>
        <b/>
        <sz val="9"/>
        <color theme="1"/>
        <rFont val="Arial"/>
        <family val="2"/>
      </rPr>
      <t>in kN/m</t>
    </r>
  </si>
  <si>
    <r>
      <t>Konsolhöhe h</t>
    </r>
    <r>
      <rPr>
        <b/>
        <vertAlign val="subscript"/>
        <sz val="9"/>
        <color theme="1"/>
        <rFont val="Arial"/>
        <family val="2"/>
      </rPr>
      <t>k,P</t>
    </r>
    <r>
      <rPr>
        <b/>
        <sz val="9"/>
        <color theme="1"/>
        <rFont val="Arial"/>
        <family val="2"/>
      </rPr>
      <t xml:space="preserve"> 
R 90</t>
    </r>
  </si>
  <si>
    <r>
      <t>Konsolhöhe h</t>
    </r>
    <r>
      <rPr>
        <b/>
        <vertAlign val="subscript"/>
        <sz val="9"/>
        <color theme="1"/>
        <rFont val="Arial"/>
        <family val="2"/>
      </rPr>
      <t>k,P</t>
    </r>
    <r>
      <rPr>
        <b/>
        <sz val="9"/>
        <color theme="1"/>
        <rFont val="Arial"/>
        <family val="2"/>
      </rPr>
      <t xml:space="preserve"> 
R 30</t>
    </r>
  </si>
  <si>
    <t>unten</t>
  </si>
  <si>
    <t>oben</t>
  </si>
  <si>
    <t>Tragfähigkeiten Konsolanschluss</t>
  </si>
  <si>
    <t>UNTEN</t>
  </si>
  <si>
    <t>OBEN</t>
  </si>
  <si>
    <t>Tragfähigkeit Treppenkonsole</t>
  </si>
  <si>
    <r>
      <t>V</t>
    </r>
    <r>
      <rPr>
        <b/>
        <vertAlign val="subscript"/>
        <sz val="9"/>
        <color theme="1"/>
        <rFont val="Arial"/>
        <family val="2"/>
      </rPr>
      <t>Rd,L</t>
    </r>
  </si>
  <si>
    <t>Tragfähigkeit Podestkonsole</t>
  </si>
  <si>
    <r>
      <t>V</t>
    </r>
    <r>
      <rPr>
        <b/>
        <vertAlign val="subscript"/>
        <sz val="9"/>
        <color theme="1"/>
        <rFont val="Arial"/>
        <family val="2"/>
      </rPr>
      <t>Rd,P</t>
    </r>
  </si>
  <si>
    <t>Tragfähigkeit Tronsole Typ F/B</t>
  </si>
  <si>
    <t>Bemessungswerte</t>
  </si>
  <si>
    <t>Schöck Tronsole® Typ F/B</t>
  </si>
  <si>
    <t>Tragstufe</t>
  </si>
  <si>
    <r>
      <t>V</t>
    </r>
    <r>
      <rPr>
        <b/>
        <vertAlign val="subscript"/>
        <sz val="9"/>
        <color theme="1"/>
        <rFont val="Arial"/>
        <family val="2"/>
      </rPr>
      <t>Rd</t>
    </r>
    <r>
      <rPr>
        <b/>
        <sz val="9"/>
        <color theme="1"/>
        <rFont val="Arial"/>
        <family val="2"/>
      </rPr>
      <t xml:space="preserve"> [kN/m]</t>
    </r>
  </si>
  <si>
    <r>
      <t>H</t>
    </r>
    <r>
      <rPr>
        <b/>
        <vertAlign val="subscript"/>
        <sz val="9"/>
        <color theme="1"/>
        <rFont val="Arial"/>
        <family val="2"/>
      </rPr>
      <t>Rd</t>
    </r>
    <r>
      <rPr>
        <b/>
        <sz val="9"/>
        <color theme="1"/>
        <rFont val="Arial"/>
        <family val="2"/>
      </rPr>
      <t xml:space="preserve"> [kN/m]</t>
    </r>
  </si>
  <si>
    <t>V1</t>
  </si>
  <si>
    <t>V2</t>
  </si>
  <si>
    <t>V3</t>
  </si>
  <si>
    <t>Auswahl Tronsole unten</t>
  </si>
  <si>
    <r>
      <t>V</t>
    </r>
    <r>
      <rPr>
        <b/>
        <vertAlign val="subscript"/>
        <sz val="9"/>
        <color theme="1"/>
        <rFont val="Arial"/>
        <family val="2"/>
      </rPr>
      <t>Rd</t>
    </r>
  </si>
  <si>
    <t>C30/37</t>
  </si>
  <si>
    <t>Auswahl Tronsole oben</t>
  </si>
  <si>
    <t>2.3</t>
  </si>
  <si>
    <t>Tragfähigkeit Tronsole Typ T</t>
  </si>
  <si>
    <t>Schöck Tronsole Typ T</t>
  </si>
  <si>
    <r>
      <t>L</t>
    </r>
    <r>
      <rPr>
        <b/>
        <vertAlign val="subscript"/>
        <sz val="9"/>
        <color theme="1"/>
        <rFont val="Arial"/>
        <family val="2"/>
      </rPr>
      <t>min</t>
    </r>
  </si>
  <si>
    <r>
      <t>L</t>
    </r>
    <r>
      <rPr>
        <b/>
        <vertAlign val="subscript"/>
        <sz val="9"/>
        <color theme="1"/>
        <rFont val="Arial"/>
        <family val="2"/>
      </rPr>
      <t>max</t>
    </r>
  </si>
  <si>
    <t>Pos.-Fert.</t>
  </si>
  <si>
    <t>Pos./Neg.-Fert.</t>
  </si>
  <si>
    <t>relevante Auswahl</t>
  </si>
  <si>
    <t>Benötigte Anzahl Kraft</t>
  </si>
  <si>
    <t>max. Anzahl</t>
  </si>
  <si>
    <t>min. Anzahl</t>
  </si>
  <si>
    <t>umsetzbar?</t>
  </si>
  <si>
    <t>Auswahlindex</t>
  </si>
  <si>
    <r>
      <t>V</t>
    </r>
    <r>
      <rPr>
        <b/>
        <vertAlign val="subscript"/>
        <sz val="9"/>
        <color theme="1"/>
        <rFont val="Arial"/>
        <family val="2"/>
      </rPr>
      <t xml:space="preserve">Rd </t>
    </r>
    <r>
      <rPr>
        <b/>
        <sz val="9"/>
        <color theme="1"/>
        <rFont val="Arial"/>
        <family val="2"/>
      </rPr>
      <t>h &lt; 180 mm [kN]</t>
    </r>
  </si>
  <si>
    <r>
      <t>V</t>
    </r>
    <r>
      <rPr>
        <b/>
        <vertAlign val="subscript"/>
        <sz val="9"/>
        <color theme="1"/>
        <rFont val="Arial"/>
        <family val="2"/>
      </rPr>
      <t xml:space="preserve">Rd </t>
    </r>
    <r>
      <rPr>
        <b/>
        <sz val="9"/>
        <color theme="1"/>
        <rFont val="Arial"/>
        <family val="2"/>
      </rPr>
      <t>h ≥ 180 mm [kN]</t>
    </r>
  </si>
  <si>
    <t>&lt;180</t>
  </si>
  <si>
    <t>&gt;=180</t>
  </si>
  <si>
    <t>V4</t>
  </si>
  <si>
    <t>V6</t>
  </si>
  <si>
    <t>V7</t>
  </si>
  <si>
    <t>V5</t>
  </si>
  <si>
    <t>V8</t>
  </si>
  <si>
    <t>vorab</t>
  </si>
  <si>
    <t>V9</t>
  </si>
  <si>
    <t>C20/25</t>
  </si>
  <si>
    <t>V10</t>
  </si>
  <si>
    <t>final</t>
  </si>
  <si>
    <t>V11</t>
  </si>
  <si>
    <t>V12</t>
  </si>
  <si>
    <t>möglich</t>
  </si>
  <si>
    <t>erforderlich</t>
  </si>
  <si>
    <t>2.4</t>
  </si>
  <si>
    <t>Tragfähigkeit Tronsole Typ P</t>
  </si>
  <si>
    <t>Podestauflagerung mit Schöck Tronsole® Typ P</t>
  </si>
  <si>
    <r>
      <t xml:space="preserve">Betongüte </t>
    </r>
    <r>
      <rPr>
        <b/>
        <sz val="11"/>
        <color theme="1"/>
        <rFont val="Arial"/>
        <family val="2"/>
      </rPr>
      <t>≥</t>
    </r>
    <r>
      <rPr>
        <b/>
        <sz val="11"/>
        <color theme="1"/>
        <rFont val="Calibri"/>
        <family val="2"/>
      </rPr>
      <t xml:space="preserve"> C20/25, Tragfähigkeit V</t>
    </r>
    <r>
      <rPr>
        <b/>
        <vertAlign val="subscript"/>
        <sz val="11"/>
        <color theme="1"/>
        <rFont val="Calibri"/>
        <family val="2"/>
      </rPr>
      <t xml:space="preserve">Rd </t>
    </r>
    <r>
      <rPr>
        <b/>
        <sz val="11"/>
        <color theme="1"/>
        <rFont val="Calibri"/>
        <family val="2"/>
      </rPr>
      <t>in kN/m</t>
    </r>
  </si>
  <si>
    <t>Plattendicke 160/180</t>
  </si>
  <si>
    <t>Plattendicke ≥ 200</t>
  </si>
  <si>
    <t>Fugenweite [mm]</t>
  </si>
  <si>
    <t>C25/30</t>
  </si>
  <si>
    <t>C35/45</t>
  </si>
  <si>
    <t>Referenz-Betongüte</t>
  </si>
  <si>
    <t>Referenz-Fugenweite</t>
  </si>
  <si>
    <t>Tragfähigkeit Tronsole Typ P positiv</t>
  </si>
  <si>
    <t>Tragfähigkeit Tronsole Typ P negativ</t>
  </si>
  <si>
    <t>3. Auswahl Tronsole Varianten</t>
  </si>
  <si>
    <r>
      <t>V</t>
    </r>
    <r>
      <rPr>
        <b/>
        <vertAlign val="subscript"/>
        <sz val="9"/>
        <color theme="1"/>
        <rFont val="Arial"/>
        <family val="2"/>
      </rPr>
      <t>Rd</t>
    </r>
    <r>
      <rPr>
        <b/>
        <sz val="9"/>
        <color theme="1"/>
        <rFont val="Arial"/>
        <family val="2"/>
      </rPr>
      <t xml:space="preserve">  Tronsole</t>
    </r>
  </si>
  <si>
    <t>V+V</t>
  </si>
  <si>
    <t>●</t>
  </si>
  <si>
    <t>Typ B&amp;D</t>
  </si>
  <si>
    <t>Typ L</t>
  </si>
  <si>
    <t>Typ T-V2 ► ≥ 28 dB</t>
  </si>
  <si>
    <t>Typ T-V7 ► ≥ 25 dB</t>
  </si>
  <si>
    <t>Typ Q ► ≥ 28 dB</t>
  </si>
  <si>
    <t>Typ F/B-V1 ► ≥ 28 dB</t>
  </si>
  <si>
    <t>Typ T-V4 ► ≥ 27 dB</t>
  </si>
  <si>
    <t>Typ T-V8 ► ≥ 25 dB</t>
  </si>
  <si>
    <t>Typ P ► ≥ 27 dB</t>
  </si>
  <si>
    <t>Typ F/B-V2 ► ≥ 26 dB</t>
  </si>
  <si>
    <t>Typ T-V6 ► ≥ 25 dB</t>
  </si>
  <si>
    <t>Typ Z ► ≥ 24 dB</t>
  </si>
  <si>
    <t>Typ F/B-V3 ► ≥ 23 dB</t>
  </si>
  <si>
    <t>=</t>
  </si>
  <si>
    <t>[LH]</t>
  </si>
  <si>
    <t>[LV]</t>
  </si>
  <si>
    <t>[TL]</t>
  </si>
  <si>
    <t>[TH]</t>
  </si>
  <si>
    <t>[H1]</t>
  </si>
  <si>
    <t>[H2]</t>
  </si>
  <si>
    <t>[L2]</t>
  </si>
  <si>
    <t>[H3]</t>
  </si>
  <si>
    <t>[L3]</t>
  </si>
  <si>
    <t>ohne γ</t>
  </si>
  <si>
    <t>mit γ</t>
  </si>
  <si>
    <t>L-420</t>
  </si>
  <si>
    <t>nein</t>
  </si>
  <si>
    <r>
      <t>[b</t>
    </r>
    <r>
      <rPr>
        <vertAlign val="subscript"/>
        <sz val="9"/>
        <color rgb="FF00437B"/>
        <rFont val="Arial"/>
        <family val="2"/>
      </rPr>
      <t>1</t>
    </r>
    <r>
      <rPr>
        <sz val="9"/>
        <color rgb="FF00437B"/>
        <rFont val="Arial"/>
        <family val="2"/>
      </rPr>
      <t>]</t>
    </r>
  </si>
  <si>
    <r>
      <t>[b</t>
    </r>
    <r>
      <rPr>
        <vertAlign val="subscript"/>
        <sz val="9"/>
        <color rgb="FF00437B"/>
        <rFont val="Arial"/>
        <family val="2"/>
      </rPr>
      <t>3</t>
    </r>
    <r>
      <rPr>
        <sz val="9"/>
        <color rgb="FF00437B"/>
        <rFont val="Arial"/>
        <family val="2"/>
      </rPr>
      <t>]</t>
    </r>
  </si>
  <si>
    <t>[H]</t>
  </si>
  <si>
    <t>[F]</t>
  </si>
  <si>
    <t>Typ P-V+V</t>
  </si>
  <si>
    <r>
      <t>[L</t>
    </r>
    <r>
      <rPr>
        <vertAlign val="subscript"/>
        <sz val="9"/>
        <color rgb="FF00437B"/>
        <rFont val="Arial"/>
        <family val="2"/>
      </rPr>
      <t>V</t>
    </r>
    <r>
      <rPr>
        <sz val="9"/>
        <color rgb="FF00437B"/>
        <rFont val="Arial"/>
        <family val="2"/>
      </rPr>
      <t>]</t>
    </r>
  </si>
  <si>
    <r>
      <t>[L</t>
    </r>
    <r>
      <rPr>
        <vertAlign val="subscript"/>
        <sz val="11"/>
        <color rgb="FF00437B"/>
        <rFont val="Calibri"/>
        <family val="2"/>
        <scheme val="minor"/>
      </rPr>
      <t>K</t>
    </r>
    <r>
      <rPr>
        <sz val="11"/>
        <color rgb="FF00437B"/>
        <rFont val="Calibri"/>
        <family val="2"/>
        <scheme val="minor"/>
      </rPr>
      <t>]</t>
    </r>
  </si>
  <si>
    <r>
      <t>[L</t>
    </r>
    <r>
      <rPr>
        <vertAlign val="subscript"/>
        <sz val="11"/>
        <color rgb="FF00437B"/>
        <rFont val="Calibri"/>
        <family val="2"/>
        <scheme val="minor"/>
      </rPr>
      <t>B</t>
    </r>
    <r>
      <rPr>
        <sz val="11"/>
        <color rgb="FF00437B"/>
        <rFont val="Calibri"/>
        <family val="2"/>
        <scheme val="minor"/>
      </rPr>
      <t>]</t>
    </r>
  </si>
  <si>
    <r>
      <t>[H</t>
    </r>
    <r>
      <rPr>
        <vertAlign val="subscript"/>
        <sz val="11"/>
        <color rgb="FF00437B"/>
        <rFont val="Calibri"/>
        <family val="2"/>
        <scheme val="minor"/>
      </rPr>
      <t>K</t>
    </r>
    <r>
      <rPr>
        <sz val="11"/>
        <color rgb="FF00437B"/>
        <rFont val="Calibri"/>
        <family val="2"/>
        <scheme val="minor"/>
      </rPr>
      <t>]</t>
    </r>
  </si>
  <si>
    <r>
      <t>V</t>
    </r>
    <r>
      <rPr>
        <b/>
        <vertAlign val="subscript"/>
        <sz val="9"/>
        <color rgb="FF00437B"/>
        <rFont val="Arial"/>
        <family val="2"/>
      </rPr>
      <t>Ed</t>
    </r>
    <r>
      <rPr>
        <b/>
        <sz val="9"/>
        <color rgb="FF00437B"/>
        <rFont val="Arial"/>
        <family val="2"/>
      </rPr>
      <t xml:space="preserve"> = |</t>
    </r>
  </si>
  <si>
    <r>
      <t>V</t>
    </r>
    <r>
      <rPr>
        <b/>
        <vertAlign val="subscript"/>
        <sz val="9"/>
        <color rgb="FF00437B"/>
        <rFont val="Arial"/>
        <family val="2"/>
      </rPr>
      <t>Rd</t>
    </r>
    <r>
      <rPr>
        <b/>
        <sz val="9"/>
        <color rgb="FF00437B"/>
        <rFont val="Arial"/>
        <family val="2"/>
      </rPr>
      <t xml:space="preserve"> = |</t>
    </r>
  </si>
  <si>
    <t>Eingabe</t>
  </si>
  <si>
    <t>Podestdicke</t>
  </si>
  <si>
    <t>Pd</t>
  </si>
  <si>
    <t>Podestlänge</t>
  </si>
  <si>
    <t>Pl</t>
  </si>
  <si>
    <t>Podestbreite</t>
  </si>
  <si>
    <t>Pb</t>
  </si>
  <si>
    <t>Kh</t>
  </si>
  <si>
    <t>Kt</t>
  </si>
  <si>
    <t>b</t>
  </si>
  <si>
    <t>Vorsprung Länge</t>
  </si>
  <si>
    <t>Berechnung Lasten</t>
  </si>
  <si>
    <t>Eigenlast Z-Konsolen vorne (beim Lauf)</t>
  </si>
  <si>
    <t>Eigenlast Z-Konsolen hinten</t>
  </si>
  <si>
    <t>Last Vorsprung</t>
  </si>
  <si>
    <t>Last gesamt</t>
  </si>
  <si>
    <t>Berechnung Schwerpunkt Nutzlast &amp; Belag</t>
  </si>
  <si>
    <t>Lasten mit Faktor</t>
  </si>
  <si>
    <t>Fläche</t>
  </si>
  <si>
    <t>Index Stufe</t>
  </si>
  <si>
    <t>Schwerpunkt horizontal</t>
  </si>
  <si>
    <t>Last Fußbodenaufbau</t>
  </si>
  <si>
    <t>Podestoberfläche Grundkörper</t>
  </si>
  <si>
    <t>Oberfläche Vorsprung</t>
  </si>
  <si>
    <t>Schwerpunkt Nutzlast</t>
  </si>
  <si>
    <t>Berechnung Schwerpunkt Beton</t>
  </si>
  <si>
    <t>Last Beton</t>
  </si>
  <si>
    <t>Z-Konsolen vorne</t>
  </si>
  <si>
    <t>Z-Konsolen hinten</t>
  </si>
  <si>
    <t>Grundkörper</t>
  </si>
  <si>
    <t>Vorsprung</t>
  </si>
  <si>
    <t>Schwerpunkt Beton gesamt Position</t>
  </si>
  <si>
    <t>Lastermittlung inkl. Veränderlichen Lasten</t>
  </si>
  <si>
    <t>Zusatzlast Treppenlauf mit veränderlichen Lasten und Sicherheitsbeiwerten</t>
  </si>
  <si>
    <t>Position Last Lauf</t>
  </si>
  <si>
    <t>Last Lauf*2</t>
  </si>
  <si>
    <t>Lasteinleitung Tronsole</t>
  </si>
  <si>
    <t>Gesamtergebnis</t>
  </si>
  <si>
    <t>Schwerpunkt Bauteil final</t>
  </si>
  <si>
    <t>Auflagerkraft vorne</t>
  </si>
  <si>
    <t>Lastermittlung ohne veränderliche Lasten</t>
  </si>
  <si>
    <t>Zusatzlast Treppenlauf ohne veränderliche Lasten und Sicherheitsbeiwerte</t>
  </si>
  <si>
    <t>Vol</t>
  </si>
  <si>
    <r>
      <t>Ständige Last [γ</t>
    </r>
    <r>
      <rPr>
        <vertAlign val="subscript"/>
        <sz val="10"/>
        <color theme="1"/>
        <rFont val="Arial"/>
        <family val="2"/>
      </rPr>
      <t>G</t>
    </r>
    <r>
      <rPr>
        <sz val="10"/>
        <color theme="1"/>
        <rFont val="Arial"/>
        <family val="2"/>
      </rPr>
      <t>]</t>
    </r>
  </si>
  <si>
    <t>Fußbondenaufbau</t>
  </si>
  <si>
    <r>
      <t>Veränderliche Last [γ</t>
    </r>
    <r>
      <rPr>
        <vertAlign val="subscript"/>
        <sz val="10"/>
        <color theme="1"/>
        <rFont val="Arial"/>
        <family val="2"/>
      </rPr>
      <t>Q</t>
    </r>
    <r>
      <rPr>
        <sz val="10"/>
        <color theme="1"/>
        <rFont val="Arial"/>
        <family val="2"/>
      </rPr>
      <t>]</t>
    </r>
  </si>
  <si>
    <t>Auflast Lauf</t>
  </si>
  <si>
    <r>
      <t>[b</t>
    </r>
    <r>
      <rPr>
        <vertAlign val="subscript"/>
        <sz val="10"/>
        <color theme="1"/>
        <rFont val="Arial"/>
        <family val="2"/>
      </rPr>
      <t>1</t>
    </r>
    <r>
      <rPr>
        <sz val="10"/>
        <color theme="1"/>
        <rFont val="Arial"/>
        <family val="2"/>
      </rPr>
      <t>]</t>
    </r>
  </si>
  <si>
    <r>
      <t>[b</t>
    </r>
    <r>
      <rPr>
        <vertAlign val="subscript"/>
        <sz val="10"/>
        <color theme="1"/>
        <rFont val="Arial"/>
        <family val="2"/>
      </rPr>
      <t>3</t>
    </r>
    <r>
      <rPr>
        <sz val="10"/>
        <color theme="1"/>
        <rFont val="Arial"/>
        <family val="2"/>
      </rPr>
      <t>]</t>
    </r>
  </si>
  <si>
    <r>
      <t>Überstand [b</t>
    </r>
    <r>
      <rPr>
        <vertAlign val="subscript"/>
        <sz val="10"/>
        <rFont val="Arial"/>
        <family val="2"/>
      </rPr>
      <t>2</t>
    </r>
    <r>
      <rPr>
        <sz val="10"/>
        <rFont val="Arial"/>
        <family val="2"/>
      </rPr>
      <t>]</t>
    </r>
  </si>
  <si>
    <r>
      <t>[b</t>
    </r>
    <r>
      <rPr>
        <vertAlign val="subscript"/>
        <sz val="10"/>
        <color theme="1"/>
        <rFont val="Arial"/>
        <family val="2"/>
      </rPr>
      <t>2</t>
    </r>
    <r>
      <rPr>
        <sz val="10"/>
        <color theme="1"/>
        <rFont val="Arial"/>
        <family val="2"/>
      </rPr>
      <t>]</t>
    </r>
  </si>
  <si>
    <t>Eigengewicht</t>
  </si>
  <si>
    <t>G=</t>
  </si>
  <si>
    <t>(Podestlänge [L] * Podestbreite[B] * Podeststärke [H]) * Eigengewicht Beton/2</t>
  </si>
  <si>
    <t xml:space="preserve">G2= </t>
  </si>
  <si>
    <t>(Podestlänge [L] * Podestbreite [B] * Fußbodenaufbau )/2</t>
  </si>
  <si>
    <t>1.5</t>
  </si>
  <si>
    <t>Q=</t>
  </si>
  <si>
    <t>(Podestlänge [L] * Podestbreite [B] * Nutzlast )/2</t>
  </si>
  <si>
    <t>Zusatzlast Lauf</t>
  </si>
  <si>
    <t>(γG * (Eigengewicht [G] + Fußbodenaufbau [G2]) + γQ * Nutzlast [Q]) /Podestbreite [B]</t>
  </si>
  <si>
    <t>Auflagerlasten</t>
  </si>
  <si>
    <t>Ved-hinten=</t>
  </si>
  <si>
    <t>Ved-vorne=</t>
  </si>
  <si>
    <t>2. Tragfähigkeit Treppenlauf</t>
  </si>
  <si>
    <t>Tragfähigkeit</t>
  </si>
  <si>
    <r>
      <t>Betongüte ≥ C20/25, Tragfähigkeit V</t>
    </r>
    <r>
      <rPr>
        <b/>
        <vertAlign val="subscript"/>
        <sz val="10"/>
        <color theme="1"/>
        <rFont val="Arial"/>
        <family val="2"/>
      </rPr>
      <t xml:space="preserve">Rd </t>
    </r>
    <r>
      <rPr>
        <b/>
        <sz val="10"/>
        <color theme="1"/>
        <rFont val="Arial"/>
        <family val="2"/>
      </rPr>
      <t>in kN/m</t>
    </r>
  </si>
  <si>
    <t>Podestauflagerung mit Schöck Tronsole Typ Z</t>
  </si>
  <si>
    <t>Variante</t>
  </si>
  <si>
    <t>Auflast / abhebende Kräfte</t>
  </si>
  <si>
    <t>VRd +</t>
  </si>
  <si>
    <t>VRd -</t>
  </si>
  <si>
    <t>Tragfähigkeit Tronsole Typ Z positiv</t>
  </si>
  <si>
    <t>Typ Z-V</t>
  </si>
  <si>
    <t>Typ Z-V+V</t>
  </si>
  <si>
    <t>Tragfähigkeit Tronsole Typ Z negativ</t>
  </si>
  <si>
    <t>Typ Z-VH+VH</t>
  </si>
  <si>
    <t>Tragfähigkeiten ausgewählte Tronsole</t>
  </si>
  <si>
    <t>[kN]</t>
  </si>
  <si>
    <t>Tragfähigkeit positiv</t>
  </si>
  <si>
    <r>
      <t>V</t>
    </r>
    <r>
      <rPr>
        <b/>
        <vertAlign val="subscript"/>
        <sz val="10"/>
        <color theme="1"/>
        <rFont val="Arial"/>
        <family val="2"/>
      </rPr>
      <t>Rd,pos</t>
    </r>
  </si>
  <si>
    <t>Tragfähigkeit negativ</t>
  </si>
  <si>
    <r>
      <t>V</t>
    </r>
    <r>
      <rPr>
        <b/>
        <vertAlign val="subscript"/>
        <sz val="10"/>
        <color theme="1"/>
        <rFont val="Arial"/>
        <family val="2"/>
      </rPr>
      <t>Rd,neg</t>
    </r>
  </si>
  <si>
    <r>
      <t>G</t>
    </r>
    <r>
      <rPr>
        <b/>
        <vertAlign val="subscript"/>
        <sz val="11"/>
        <rFont val="Arial"/>
        <family val="2"/>
      </rPr>
      <t>k</t>
    </r>
  </si>
  <si>
    <r>
      <t>V</t>
    </r>
    <r>
      <rPr>
        <b/>
        <vertAlign val="subscript"/>
        <sz val="11"/>
        <rFont val="Arial"/>
        <family val="2"/>
      </rPr>
      <t>ed</t>
    </r>
  </si>
  <si>
    <r>
      <t>V</t>
    </r>
    <r>
      <rPr>
        <b/>
        <vertAlign val="subscript"/>
        <sz val="11"/>
        <rFont val="Arial"/>
        <family val="2"/>
      </rPr>
      <t>Rd</t>
    </r>
  </si>
  <si>
    <t>Hinweise Treppenlauf</t>
  </si>
  <si>
    <t>Bei dem gewählten oberen Anschluss sind besondere Vorgaben zu berücksichtigen. Bitte kontaktieren Sie unsere AWT.</t>
  </si>
  <si>
    <t>=Treppenlauf!E30&lt;(Treppenlauf!E24+Lastermittlung_Lauf!C19-Treppenlauf!E29)*Treppenlauf!E23/Treppenlauf!E24</t>
  </si>
  <si>
    <t>Ortbeton</t>
  </si>
  <si>
    <t>Fertigteil Positivfertigung</t>
  </si>
  <si>
    <t>Fertigteil Negativfertigung</t>
  </si>
  <si>
    <t>senkrecht zum Lauf</t>
  </si>
  <si>
    <t>parallel zum Lauf</t>
  </si>
  <si>
    <t>in Lauf-Richtung</t>
  </si>
  <si>
    <t>quer zur Lauf-Richtung</t>
  </si>
  <si>
    <t>AT</t>
  </si>
  <si>
    <t>PL</t>
  </si>
  <si>
    <t>Dane projektu</t>
  </si>
  <si>
    <t>Nazwa obiektu</t>
  </si>
  <si>
    <t>Numer obiektu</t>
  </si>
  <si>
    <t>Opracował</t>
  </si>
  <si>
    <t>Pozycja</t>
  </si>
  <si>
    <t>Element budowlany</t>
  </si>
  <si>
    <t xml:space="preserve">Ilość </t>
  </si>
  <si>
    <t>Kraj</t>
  </si>
  <si>
    <t>Język</t>
  </si>
  <si>
    <t>Data</t>
  </si>
  <si>
    <t>Spocznik</t>
  </si>
  <si>
    <t>Dane ogólne</t>
  </si>
  <si>
    <t>Ochrona ppoż.</t>
  </si>
  <si>
    <t>Wykonanie</t>
  </si>
  <si>
    <t>Klasa betonu</t>
  </si>
  <si>
    <t>Beton monolityczny</t>
  </si>
  <si>
    <t>Prefabrykat (pozytyw)</t>
  </si>
  <si>
    <t>Prefabrykat (negatyw)</t>
  </si>
  <si>
    <t xml:space="preserve">nieokreślony </t>
  </si>
  <si>
    <t>Geometria</t>
  </si>
  <si>
    <t>Długość biegu</t>
  </si>
  <si>
    <t>Długość biegu poz.</t>
  </si>
  <si>
    <t>Długość biegu pion.</t>
  </si>
  <si>
    <t>Ilość stopni</t>
  </si>
  <si>
    <t>Szerokość stopnia</t>
  </si>
  <si>
    <t>Wysokość stopnia</t>
  </si>
  <si>
    <t>Grubość biegu</t>
  </si>
  <si>
    <t>Szerokość biegu</t>
  </si>
  <si>
    <t>Obciążenia</t>
  </si>
  <si>
    <t>Obc. stałe</t>
  </si>
  <si>
    <t>Obc. zmienne</t>
  </si>
  <si>
    <t xml:space="preserve">Beton </t>
  </si>
  <si>
    <t>Objętość betonu</t>
  </si>
  <si>
    <t>Ciężar własny betonu</t>
  </si>
  <si>
    <t>Obciążenie całkowite</t>
  </si>
  <si>
    <t>na dole</t>
  </si>
  <si>
    <t>na górze</t>
  </si>
  <si>
    <t>Podparcie na dole</t>
  </si>
  <si>
    <t>Podparcie na górze</t>
  </si>
  <si>
    <t>Długość spocznika</t>
  </si>
  <si>
    <t>Szerokość spocznika</t>
  </si>
  <si>
    <t>Wariant położenia Tronsole</t>
  </si>
  <si>
    <t>prostopadle do biegu</t>
  </si>
  <si>
    <t>równolegle do biegu</t>
  </si>
  <si>
    <t>wzdłuż biegu</t>
  </si>
  <si>
    <t>z boku</t>
  </si>
  <si>
    <t>z tyłu</t>
  </si>
  <si>
    <t>Krawędź z przodu</t>
  </si>
  <si>
    <t>Krawędź z tyłu</t>
  </si>
  <si>
    <t>Grubość spocznika</t>
  </si>
  <si>
    <t>Szerokość dylatacji</t>
  </si>
  <si>
    <t>Podparcie spocznika</t>
  </si>
  <si>
    <t>Reakcje podporowe</t>
  </si>
  <si>
    <t>Reakcja na podporze, dół</t>
  </si>
  <si>
    <t>Min. wysokość konsoli na dole</t>
  </si>
  <si>
    <t>Min. wysokość konsoli na górze</t>
  </si>
  <si>
    <t>Podsumowanie</t>
  </si>
  <si>
    <t>Dylatacja boczna biegu</t>
  </si>
  <si>
    <t>Dylatacja boczna spocznika</t>
  </si>
  <si>
    <t>Tronsole typu:</t>
  </si>
  <si>
    <t>Konsola na biegu:</t>
  </si>
  <si>
    <t>Obciążenia stałe</t>
  </si>
  <si>
    <t>Obciążenia zmienne</t>
  </si>
  <si>
    <t>Reakcja na podporze z tyłu</t>
  </si>
  <si>
    <t>(łącznie z obciążeniem z biegu schodowego)</t>
  </si>
  <si>
    <t>(przy wartościach ujemnych - siły odrywające)</t>
  </si>
  <si>
    <t>Podparcie przy biegu</t>
  </si>
  <si>
    <t>Obciążenie zmienne, bieg</t>
  </si>
  <si>
    <t>Podparcie z tyłu</t>
  </si>
  <si>
    <t>Obliczenia</t>
  </si>
  <si>
    <t>Obiciążenia całkowite (stałe + zmienne)</t>
  </si>
  <si>
    <t>Dalsze informacje i wskazówki w informacji technicznej Schöck Tronsole® dostępnej na stronie: https://www.schoeck.com/</t>
  </si>
  <si>
    <t xml:space="preserve">Wyniki obliczeń dotyczą jedynie doboru produktów Schöck Tronsole®. Schematy podparcia i szczegóły zbrojenia powinny być przeanalizowane przez Projektanta. </t>
  </si>
  <si>
    <t>-</t>
  </si>
  <si>
    <t>Wskazówki:</t>
  </si>
  <si>
    <t>Podstawy obliczeń:</t>
  </si>
  <si>
    <t>Fizyka budowli</t>
  </si>
  <si>
    <t>Ważony wskaźnik zmniejszenia poziomu uderzeniowego ΔLw</t>
  </si>
  <si>
    <t>Oddzielenie akustyczne biegów schodowych/spocznika od ściany klatki schodowej realizowane jest poprzez zastosowanie Schöck Tronsole® typu L.</t>
  </si>
  <si>
    <t>Wprowadzone dane</t>
  </si>
  <si>
    <t>Wyniki</t>
  </si>
  <si>
    <t>Obciążenie zmienne na spoczniku</t>
  </si>
  <si>
    <t>Obciążenia całkowite (char.)</t>
  </si>
  <si>
    <t>Obciążenia całkowite (obl.)</t>
  </si>
  <si>
    <t>Założone obciążenia</t>
  </si>
  <si>
    <t>Obliczenia niemożliwe! Proszę sprawdzić poprawność wprowadzonych danych!</t>
  </si>
  <si>
    <t>Cieżar własny - bieg schodowy</t>
  </si>
  <si>
    <t>Obciążenie całkowite - bieg schodowy</t>
  </si>
  <si>
    <t>Obciążenie całkowite - spocznik</t>
  </si>
  <si>
    <t>Geometria, schemat statyczny i rozkład obciążeń</t>
  </si>
  <si>
    <t>project data</t>
  </si>
  <si>
    <t>project number</t>
  </si>
  <si>
    <t>editor</t>
  </si>
  <si>
    <t>position</t>
  </si>
  <si>
    <t>component</t>
  </si>
  <si>
    <t>quantity</t>
  </si>
  <si>
    <t>country</t>
  </si>
  <si>
    <t>language</t>
  </si>
  <si>
    <t>date</t>
  </si>
  <si>
    <t>flight of stairs (with landing)</t>
  </si>
  <si>
    <t>half-landing</t>
  </si>
  <si>
    <t>general</t>
  </si>
  <si>
    <t>system</t>
  </si>
  <si>
    <t>fire protection</t>
  </si>
  <si>
    <t>type of production</t>
  </si>
  <si>
    <t>concrete quality</t>
  </si>
  <si>
    <t>in-situ concrete</t>
  </si>
  <si>
    <t>prefab production regular</t>
  </si>
  <si>
    <t>prefab production upturned</t>
  </si>
  <si>
    <t>undefined</t>
  </si>
  <si>
    <t>geometry</t>
  </si>
  <si>
    <t>total length</t>
  </si>
  <si>
    <t>total length hor.</t>
  </si>
  <si>
    <t>total length vert.</t>
  </si>
  <si>
    <t>number of steps</t>
  </si>
  <si>
    <t>tread length</t>
  </si>
  <si>
    <t>riser height</t>
  </si>
  <si>
    <t>flight of stairs thickness</t>
  </si>
  <si>
    <t>flight of stairs width</t>
  </si>
  <si>
    <t>connection height bottom</t>
  </si>
  <si>
    <t>connection length bottom</t>
  </si>
  <si>
    <t>connection height top</t>
  </si>
  <si>
    <t>connection length top</t>
  </si>
  <si>
    <t>loads</t>
  </si>
  <si>
    <t>floor covering</t>
  </si>
  <si>
    <t>payload</t>
  </si>
  <si>
    <t>spec. load concrete</t>
  </si>
  <si>
    <t>volume concrete</t>
  </si>
  <si>
    <t>dead load concrete</t>
  </si>
  <si>
    <t>total load</t>
  </si>
  <si>
    <t>product</t>
  </si>
  <si>
    <t>bottom</t>
  </si>
  <si>
    <t>top</t>
  </si>
  <si>
    <t>support bottom</t>
  </si>
  <si>
    <t>corbel height bottom</t>
  </si>
  <si>
    <t>corbel length bottom</t>
  </si>
  <si>
    <t>joint width bottom</t>
  </si>
  <si>
    <t>support top</t>
  </si>
  <si>
    <t>corbel height top</t>
  </si>
  <si>
    <t>corbel length top</t>
  </si>
  <si>
    <t>joint width top</t>
  </si>
  <si>
    <t>half-landing length</t>
  </si>
  <si>
    <t>half-landing width</t>
  </si>
  <si>
    <t>position of rear Tronsole</t>
  </si>
  <si>
    <t>perpendicular to flight of stairs</t>
  </si>
  <si>
    <t>parallel to flight of stairs</t>
  </si>
  <si>
    <t>in walking direction</t>
  </si>
  <si>
    <t>perpendicular to walking direction</t>
  </si>
  <si>
    <t>laterial</t>
  </si>
  <si>
    <t>rear</t>
  </si>
  <si>
    <t>front protrusion</t>
  </si>
  <si>
    <t>rear protrusion</t>
  </si>
  <si>
    <t>half-landing thickness</t>
  </si>
  <si>
    <t>joint width</t>
  </si>
  <si>
    <t>use load from "flight of stairs"</t>
  </si>
  <si>
    <t>max load flight of stairs [Ved]</t>
  </si>
  <si>
    <t>permanent load flight of stairs [GK]</t>
  </si>
  <si>
    <t>support half-landing</t>
  </si>
  <si>
    <t>connection flight of stairs(see "flight of stairs")</t>
  </si>
  <si>
    <t>corbel length</t>
  </si>
  <si>
    <t>protrusion length</t>
  </si>
  <si>
    <t>corbel height</t>
  </si>
  <si>
    <t>supporting forces</t>
  </si>
  <si>
    <t>total support force bottom</t>
  </si>
  <si>
    <t>total support force top</t>
  </si>
  <si>
    <t>(needed min. corbel height half-landing bottom:</t>
  </si>
  <si>
    <t>(needed min. corbel height half-landing top:</t>
  </si>
  <si>
    <t>verification overview</t>
  </si>
  <si>
    <t>joint plate flight of stairs</t>
  </si>
  <si>
    <t>joint plate half-landing top/bottom</t>
  </si>
  <si>
    <t>Tronsole Type:</t>
  </si>
  <si>
    <t>Stair corbel:</t>
  </si>
  <si>
    <t>total dead load</t>
  </si>
  <si>
    <t>total payload</t>
  </si>
  <si>
    <t>support force near flight of stairs</t>
  </si>
  <si>
    <t>rear support force</t>
  </si>
  <si>
    <t>(including weight of flight of stairs)</t>
  </si>
  <si>
    <t>(lifting forces in case of negative values)</t>
  </si>
  <si>
    <t>support near flight of stairs</t>
  </si>
  <si>
    <t>payload flight of stairs</t>
  </si>
  <si>
    <t>rear support</t>
  </si>
  <si>
    <t>calculation</t>
  </si>
  <si>
    <t>permanent forces</t>
  </si>
  <si>
    <t>total load (incl. changeable load)</t>
  </si>
  <si>
    <t>Further information and notes can be found in the Technical Information of Schöck Tronsole® at: https://www.schoeck.com/</t>
  </si>
  <si>
    <t>The results of the measurement tool refer only to the calculation of Schöck Tronsole®.  The overall situation must be checked by the user for plausibility!</t>
  </si>
  <si>
    <t>When applying, the assessment bases and instructions available at the following link must also be observed: https://www.schoeck.com/view/14058</t>
  </si>
  <si>
    <t>notes:</t>
  </si>
  <si>
    <t>fundamentals:</t>
  </si>
  <si>
    <t>building physics</t>
  </si>
  <si>
    <t>impact sound level difference ΔLw*</t>
  </si>
  <si>
    <t>Sound bridge-free joint formation between stair runs/landings and walls. All sound measurements of the load-bearing impact sound elements were carried out in the system with the Schöck Tronsole® type L.</t>
  </si>
  <si>
    <t>input</t>
  </si>
  <si>
    <t>results</t>
  </si>
  <si>
    <t>changing loads</t>
  </si>
  <si>
    <t>payload half-landing</t>
  </si>
  <si>
    <t>total load without safety factor</t>
  </si>
  <si>
    <t>total load with safety factor</t>
  </si>
  <si>
    <t>dead load floor covering</t>
  </si>
  <si>
    <t>determined forces</t>
  </si>
  <si>
    <t>Calculation not possible! Please check your entry!</t>
  </si>
  <si>
    <t>dead load flight of stairs</t>
  </si>
  <si>
    <t>total load flight of stairs</t>
  </si>
  <si>
    <t>total load half-landing</t>
  </si>
  <si>
    <t>Static verifications: Type F: DIBt Z-15.7-359; Type P: DIBt Z-15.7-349; 
Type Q: DIBt Z-15.7-311; Type T: DIBt Z-15.7-310; Type Z: Type approval S-N/130257</t>
  </si>
  <si>
    <t>Disclaimer</t>
  </si>
  <si>
    <t>drawing &amp; load assumption</t>
  </si>
  <si>
    <t>construct. project</t>
  </si>
  <si>
    <t>projektni podatki</t>
  </si>
  <si>
    <t>gradbeni projekt</t>
  </si>
  <si>
    <t>št. gradbenega projekta</t>
  </si>
  <si>
    <t>obdelal</t>
  </si>
  <si>
    <t>pozicija</t>
  </si>
  <si>
    <t>gradbeni element</t>
  </si>
  <si>
    <t>število</t>
  </si>
  <si>
    <t>država</t>
  </si>
  <si>
    <t>jezik</t>
  </si>
  <si>
    <t>datum</t>
  </si>
  <si>
    <t>stopniščna rama (s podestom)</t>
  </si>
  <si>
    <t>podest</t>
  </si>
  <si>
    <t>splošno</t>
  </si>
  <si>
    <t>sistem</t>
  </si>
  <si>
    <t>požarna zaščita</t>
  </si>
  <si>
    <t>način izdelave</t>
  </si>
  <si>
    <t>kakovost betona</t>
  </si>
  <si>
    <t>lokalni beton</t>
  </si>
  <si>
    <t>normalna izdelava montažnih elementov</t>
  </si>
  <si>
    <t>obrnjena izdelava montažnih elementov</t>
  </si>
  <si>
    <t>nedefiniran</t>
  </si>
  <si>
    <t>geometrija</t>
  </si>
  <si>
    <t>skupna dolžina</t>
  </si>
  <si>
    <t>skupna dolžina vodoravno</t>
  </si>
  <si>
    <t>skupna dolžina navpično</t>
  </si>
  <si>
    <t>število stopnic</t>
  </si>
  <si>
    <t>širina stopnice</t>
  </si>
  <si>
    <t>višina stopnice</t>
  </si>
  <si>
    <t>debelina rame</t>
  </si>
  <si>
    <t>širina rame</t>
  </si>
  <si>
    <t>priključna višina spodaj</t>
  </si>
  <si>
    <t xml:space="preserve">priključna dolžina spodaj </t>
  </si>
  <si>
    <t>priključna višina zgoraj</t>
  </si>
  <si>
    <t>priključna dolžina zgoraj</t>
  </si>
  <si>
    <t>obtežbe</t>
  </si>
  <si>
    <t>talna obloga</t>
  </si>
  <si>
    <t>koristna obtežba</t>
  </si>
  <si>
    <t>specif. obtežba betona</t>
  </si>
  <si>
    <t>volumen betona</t>
  </si>
  <si>
    <t>lastna obtežba betona</t>
  </si>
  <si>
    <t>skupna obtežba</t>
  </si>
  <si>
    <t>proizvod</t>
  </si>
  <si>
    <t>spodaj</t>
  </si>
  <si>
    <t>zgoraj</t>
  </si>
  <si>
    <t>ležaj spodaj</t>
  </si>
  <si>
    <t>konzolna višina spodaj</t>
  </si>
  <si>
    <t>konzolna dolžina spodaj</t>
  </si>
  <si>
    <t>širina stika spodaj</t>
  </si>
  <si>
    <t>ležaj zgoraj</t>
  </si>
  <si>
    <t>konzolna višina zgoraj</t>
  </si>
  <si>
    <t>konzolna dolžina zgoraj</t>
  </si>
  <si>
    <t>širina stika zgoraj</t>
  </si>
  <si>
    <t>dolžina podesta</t>
  </si>
  <si>
    <t>širina podesta</t>
  </si>
  <si>
    <t>položaj zadnje Tronsole</t>
  </si>
  <si>
    <t>pravokotno na ramo</t>
  </si>
  <si>
    <t>vzporedno z ramo</t>
  </si>
  <si>
    <t>v smeri rame</t>
  </si>
  <si>
    <t>pravokotno na smer rame</t>
  </si>
  <si>
    <t>ob strani</t>
  </si>
  <si>
    <t>zadaj</t>
  </si>
  <si>
    <t>previs spredaj</t>
  </si>
  <si>
    <t>previs zadaj</t>
  </si>
  <si>
    <t>debelina podesta</t>
  </si>
  <si>
    <t>širina stika</t>
  </si>
  <si>
    <t>prenašanje obtežbe "stopniščne rame"</t>
  </si>
  <si>
    <t>maksimalna obtežba rame  [Ved]</t>
  </si>
  <si>
    <t>stalna obtežba rame [GK]</t>
  </si>
  <si>
    <t>ležaj podesta</t>
  </si>
  <si>
    <t>priključek stopniščne rame (glejte "stopniščna rama")</t>
  </si>
  <si>
    <t>konzolna dolžina</t>
  </si>
  <si>
    <t>dolžina štrline</t>
  </si>
  <si>
    <t>konzolna višina</t>
  </si>
  <si>
    <t>sile na ležaj</t>
  </si>
  <si>
    <t>vsota sil na ležaj spodaj</t>
  </si>
  <si>
    <t>vsota sil na ležaj zgoraj</t>
  </si>
  <si>
    <t>(zahtevana min. konzolna višina podesta spodaj:</t>
  </si>
  <si>
    <t>(zahtevana min. konzolna višina podesta zgoraj:</t>
  </si>
  <si>
    <t>pregled izračuna</t>
  </si>
  <si>
    <t>plošča s stikom rame</t>
  </si>
  <si>
    <t>plošča s stikom podesta zgoraj/spodaj</t>
  </si>
  <si>
    <t>tip Tronsole:</t>
  </si>
  <si>
    <t>stopniščna konzola:</t>
  </si>
  <si>
    <t>skupna lastna obtežba</t>
  </si>
  <si>
    <t>skupna koristna obtežba</t>
  </si>
  <si>
    <t>sila na ležaj pri rami</t>
  </si>
  <si>
    <t>sila na ležaj zadaj</t>
  </si>
  <si>
    <t>(vključno s težo stopniščne rame)</t>
  </si>
  <si>
    <t>(pri negativnih vrednostih dvižne sile)</t>
  </si>
  <si>
    <t>ležaj pri stopnicah</t>
  </si>
  <si>
    <t>koristna obtežba stopniščne rame</t>
  </si>
  <si>
    <t>plošča s stikom podesta</t>
  </si>
  <si>
    <t>ležaj zadaj</t>
  </si>
  <si>
    <t>dimenzioniranje</t>
  </si>
  <si>
    <t>stalne obtežbe</t>
  </si>
  <si>
    <t>skupaj obtežbe (vklj. s spremenljivimi obtežbami)</t>
  </si>
  <si>
    <t>Nadaljnje informacije in napotke najdete v Tehničnih informacijah za Schöck Tronsole® na: https://www.schoeck.com/</t>
  </si>
  <si>
    <t>Rezultati orodja za dimenzioniranje se nanašajo samo na izračun Schöck Tronsole®. Sprejemljivost celotne situacije mora preveriti uporabnik.</t>
  </si>
  <si>
    <t>Pri uporabi je treba upoštevati tudi osnove dimenzioniranja in napotke, ki so na voljo na spodnji povezavi:
https://www.schoeck.com/view/14058</t>
  </si>
  <si>
    <t>Napotki:</t>
  </si>
  <si>
    <t>Osnove:</t>
  </si>
  <si>
    <t>Gradbena fizika</t>
  </si>
  <si>
    <t>Razlika ravni udarnega zvoka ΔLw*</t>
  </si>
  <si>
    <t>Izvedba stikov brez zvočnih mostov med  stopniščnimi ramami/podesti in stenami. Vse meritve udarnega zvoka nosilnih elementov so bile izvedene v sistemu s Schöck Tronsole® tip L.</t>
  </si>
  <si>
    <t>vnosi</t>
  </si>
  <si>
    <t>rezultati</t>
  </si>
  <si>
    <t>spremenljive obtežbe</t>
  </si>
  <si>
    <t>koristna obtežba podesta</t>
  </si>
  <si>
    <t>skupna obtežba brez varnostnega faktorja</t>
  </si>
  <si>
    <t>skupna obtežba z varnostnim faktorjem</t>
  </si>
  <si>
    <t>lastna obtežba talne obloge</t>
  </si>
  <si>
    <t>izračunane obtežbe</t>
  </si>
  <si>
    <t>Dimenzioniranje ni možno! Preverite vaš vnos!</t>
  </si>
  <si>
    <t>lastna obtežba stopniščne rame</t>
  </si>
  <si>
    <t>skupna obtežba stopniščne rame</t>
  </si>
  <si>
    <t>skupna obtežba podesta</t>
  </si>
  <si>
    <t>risba in privzete obtežbe</t>
  </si>
  <si>
    <t>Statični izkazi: tip F:  DIBt Z-15.7-359; tip P: DIBt Z-15.7-349; 
tip Q: DIBt Z-15.7-311; tip T: DIBt Z-15.7-310; tip Z: tipsko preizkušanje S-N/130257</t>
  </si>
  <si>
    <t>1.	 Das Excel-Bemessungstool dient zur Vorbemessung von schallentkoppelten Treppen- und Podest-Anschlüssen, es ersetzt jedoch keine prüffähige Statik dieser Bauteile. Schöck stellt das Excel-Tool in der jeweils aktuellen Version unentgeltlich bereit, um der Zielgruppe ein ergänzendes Hilfsmittel zur Verfügung zu stellen. Schöck ist es nicht möglich, die Bedienung des Tools durch die Nutzer zu überprüfen oder überwachen. Die Bereitstellung des Tools durch Schöck erfolgt im Vertrauen auf die hohe Fachkompetenz der Zielgruppe und dem Umstand, dass die Folgen einer Fehlberechnung und der hohen Verantwortung bekannt sind. Das gilt insbesondere für die nicht ausschließbare Fehleranfälligkeit von Softwareprodukten. Sollte es Fragen und Unklarheiten geben, ist der Nutzer gehalten, Schöck vor Nutzung oder Verwertung von Ergebnissen zu kontaktieren. Schöck macht keine besonderen Zusicherungen und gibt keine Garantien oder Erklärungen hinsichtlich der Beschaffenheit oder der Eignung des Bemessungstools und der Softwareumgebung für individuelle Zwecke des Nutzers sowie der Kompatibilität zu sämtlichen anderen Soft- oder Hardware-Produkten ab.
2.	 Es gelten im Übrigen die gesetzlichen Bestimmungen zur Gewährleistung nach § 600 BGB.
3.	 Schöck haftet nach den gesetzlichen Bestimmungen für Vorsatz und grobe Fahrlässigkeit nach § 599 BGB.</t>
  </si>
  <si>
    <t>1. The Excel design tool is used for the preliminary design of sound-decoupled stair and landing connections, but it does not replace a verifiable structural analysis of these components. Schöck provides the Excel tool in its current version free of charge in order to provide the target group with a supplementary aid. It is not possible for Schöck to check or monitor the operation of the tool by users. The tool is provided by Schöck in reliance on the high level of expertise of the target group and the fact that the consequences of miscalculation and the high level of responsibility are known. This applies in particular to the non-excludable susceptibility of software products to errors. If there are any questions or uncertainties, the user is required to contact Schöck before using or utilizing the results. Schöck makes no special assurances and gives no guarantees or declarations regarding the quality or suitability of the design tool and the software environment for the user's individual purposes or compatibility with any other software or hardware products.
2. The statutory warranty provisions pursuant to § 600 BGB (German Civil Code) shall apply.
3. Schöck shall be liable in accordance with the statutory provisions for intent and gross negligence in accordance with § 599 BGB.</t>
  </si>
  <si>
    <t>Fehler - Vorgaben nicht eingehalten:</t>
  </si>
  <si>
    <t>Hinweis:</t>
  </si>
  <si>
    <t>Error - Specifications not met:</t>
  </si>
  <si>
    <t>Attention:</t>
  </si>
  <si>
    <t>Special specifications must be taken into account for the selected upper connection. Please contact our applications engineering team.</t>
  </si>
  <si>
    <t>Błąd — specyfikacje nie zostały spełnione:</t>
  </si>
  <si>
    <t>Napaka – specifikacije niso izpolnjene:</t>
  </si>
  <si>
    <t>Namig:</t>
  </si>
  <si>
    <t>Za izbrani zgornji priključek je treba upoštevati posebne specifikacije. Obrnite se na našo tehnologijo uporabe.</t>
  </si>
  <si>
    <t>Hinweise und Fehlermeldungen</t>
  </si>
  <si>
    <t>Bieg (ze spocznikiem)</t>
  </si>
  <si>
    <t>Wys. konsoli na dole</t>
  </si>
  <si>
    <t>Dł. konsoli na dole</t>
  </si>
  <si>
    <t>Szer. dylatacji na dole</t>
  </si>
  <si>
    <t>Wys. konsoli na górze</t>
  </si>
  <si>
    <t>Dł. konsoli na górze</t>
  </si>
  <si>
    <t>Szer. dylatacji na górze</t>
  </si>
  <si>
    <t>Przejmij obciążenia z obliczeń biegu</t>
  </si>
  <si>
    <t>Obc. stałe biegu  [Gk]</t>
  </si>
  <si>
    <t>Połączenie bieg - spocznik (patrz "Bieg schodowy")</t>
  </si>
  <si>
    <t>Reakcja na podporze, góra</t>
  </si>
  <si>
    <t>Reakcja na podporze - bieg</t>
  </si>
  <si>
    <t>Wskazówka:</t>
  </si>
  <si>
    <t>Dla wybranego górnego połączenia należy wziąć pod uwagę aktualne wymagania techniczne. Prosimy o kontakt z naszym działem technicznym.</t>
  </si>
  <si>
    <t>Wysokość na dole</t>
  </si>
  <si>
    <t>Długość na dole</t>
  </si>
  <si>
    <t>Wysokość na górze</t>
  </si>
  <si>
    <t>Długość na górze</t>
  </si>
  <si>
    <t>Obc. Maks. biegu  [Ved]</t>
  </si>
  <si>
    <t>Wysunięcie spocznika</t>
  </si>
  <si>
    <t>Version</t>
  </si>
  <si>
    <t>Wersja</t>
  </si>
  <si>
    <t>[G{1,Podest}}]</t>
  </si>
  <si>
    <t>[G{1,landing}}]</t>
  </si>
  <si>
    <t>[G{2,Podest}}]</t>
  </si>
  <si>
    <t>[Q{Podest}]</t>
  </si>
  <si>
    <t>[V{Podest}]</t>
  </si>
  <si>
    <t>[G{Lauf}]</t>
  </si>
  <si>
    <t>[Q{Lauf}]</t>
  </si>
  <si>
    <t>[V{Lauf}]</t>
  </si>
  <si>
    <t>[G{gesamt}]</t>
  </si>
  <si>
    <t>[Q{gesamt}]</t>
  </si>
  <si>
    <t>[V{gesamt}]</t>
  </si>
  <si>
    <t>[G{1,Lauf}]</t>
  </si>
  <si>
    <t>[G{2,Lauf}]</t>
  </si>
  <si>
    <t>[G{2,landing}]</t>
  </si>
  <si>
    <t>[Q{landing}]</t>
  </si>
  <si>
    <t>[V{landing}]</t>
  </si>
  <si>
    <t>[G{flight}]</t>
  </si>
  <si>
    <t>[Q{flight}]</t>
  </si>
  <si>
    <t>[V{flight}]</t>
  </si>
  <si>
    <t>[G{total}]</t>
  </si>
  <si>
    <t>[Q{total}]</t>
  </si>
  <si>
    <t>[V{total}]</t>
  </si>
  <si>
    <t>[G{1,flight}]</t>
  </si>
  <si>
    <t>[G{2,flight}]</t>
  </si>
  <si>
    <t>[G{1,Spocznik}]</t>
  </si>
  <si>
    <t>[G{2,Spocznik}]</t>
  </si>
  <si>
    <t>[Q{Spocznik}]</t>
  </si>
  <si>
    <t>[V{Spocznik}]</t>
  </si>
  <si>
    <t>[G{Bieg}]</t>
  </si>
  <si>
    <t>[Q{Bieg}]</t>
  </si>
  <si>
    <t>[V{Bieg}]</t>
  </si>
  <si>
    <t>[G{całkowite}]</t>
  </si>
  <si>
    <t>[Q{całkowite}]</t>
  </si>
  <si>
    <t>[V{całkowite}]</t>
  </si>
  <si>
    <t>[G{1,Bieg}]</t>
  </si>
  <si>
    <t>[G{2,Bieg}]</t>
  </si>
  <si>
    <t>Einheiten und Indizes</t>
  </si>
  <si>
    <t>Krajowa Ocena Techniczna ITB - KOT-2020_1348 - typy F,B,L,D    
Krajowa Ocena Techniczna ITB - KOT-2020_1349 - typy Q,P,T,Z,L</t>
  </si>
  <si>
    <t>without γ</t>
  </si>
  <si>
    <t>with γ</t>
  </si>
  <si>
    <t>Char.</t>
  </si>
  <si>
    <t>Obl.</t>
  </si>
  <si>
    <t>gesamt</t>
  </si>
  <si>
    <t>Bieg</t>
  </si>
  <si>
    <t>całkowite</t>
  </si>
  <si>
    <t>flight of stairs</t>
  </si>
  <si>
    <t>total</t>
  </si>
  <si>
    <r>
      <t>G</t>
    </r>
    <r>
      <rPr>
        <b/>
        <vertAlign val="subscript"/>
        <sz val="11"/>
        <rFont val="Arial"/>
        <family val="2"/>
      </rPr>
      <t>1,*</t>
    </r>
  </si>
  <si>
    <r>
      <t>G</t>
    </r>
    <r>
      <rPr>
        <b/>
        <vertAlign val="subscript"/>
        <sz val="11"/>
        <rFont val="Arial"/>
        <family val="2"/>
      </rPr>
      <t>2,*</t>
    </r>
  </si>
  <si>
    <r>
      <t>Q</t>
    </r>
    <r>
      <rPr>
        <b/>
        <vertAlign val="subscript"/>
        <sz val="11"/>
        <rFont val="Arial"/>
        <family val="2"/>
      </rPr>
      <t>*</t>
    </r>
  </si>
  <si>
    <r>
      <t>V</t>
    </r>
    <r>
      <rPr>
        <b/>
        <vertAlign val="subscript"/>
        <sz val="11"/>
        <rFont val="Arial"/>
        <family val="2"/>
      </rPr>
      <t>*</t>
    </r>
  </si>
  <si>
    <r>
      <t>G</t>
    </r>
    <r>
      <rPr>
        <b/>
        <vertAlign val="subscript"/>
        <sz val="11"/>
        <rFont val="Arial"/>
        <family val="2"/>
      </rPr>
      <t>**</t>
    </r>
  </si>
  <si>
    <r>
      <t>Q</t>
    </r>
    <r>
      <rPr>
        <b/>
        <vertAlign val="subscript"/>
        <sz val="11"/>
        <rFont val="Arial"/>
        <family val="2"/>
      </rPr>
      <t>**</t>
    </r>
  </si>
  <si>
    <r>
      <t>V</t>
    </r>
    <r>
      <rPr>
        <b/>
        <vertAlign val="subscript"/>
        <sz val="11"/>
        <rFont val="Arial"/>
        <family val="2"/>
      </rPr>
      <t>**</t>
    </r>
  </si>
  <si>
    <r>
      <t>G</t>
    </r>
    <r>
      <rPr>
        <b/>
        <vertAlign val="subscript"/>
        <sz val="11"/>
        <rFont val="Arial"/>
        <family val="2"/>
      </rPr>
      <t>***</t>
    </r>
  </si>
  <si>
    <r>
      <t>Q</t>
    </r>
    <r>
      <rPr>
        <b/>
        <vertAlign val="subscript"/>
        <sz val="11"/>
        <rFont val="Arial"/>
        <family val="2"/>
      </rPr>
      <t>***</t>
    </r>
  </si>
  <si>
    <r>
      <t>V</t>
    </r>
    <r>
      <rPr>
        <b/>
        <vertAlign val="subscript"/>
        <sz val="11"/>
        <rFont val="Arial"/>
        <family val="2"/>
      </rPr>
      <t>***</t>
    </r>
  </si>
  <si>
    <t>ja</t>
  </si>
  <si>
    <t>yes</t>
  </si>
  <si>
    <t>no</t>
  </si>
  <si>
    <t>tak</t>
  </si>
  <si>
    <t>nie</t>
  </si>
  <si>
    <t>ne</t>
  </si>
  <si>
    <t>da</t>
  </si>
  <si>
    <t>Load capacity exceeded!</t>
  </si>
  <si>
    <t>Tragfähigkeit überschritten!</t>
  </si>
  <si>
    <t>Przekroczono nośność!</t>
  </si>
  <si>
    <t>Nosilnost presežena!</t>
  </si>
  <si>
    <t xml:space="preserve">1. Narzędzie projektowe Excel służy do wstępnego projektowania połączeń schodów i podestów/spoczników (elementów systemu izolacji akustycznej od dźwięków uderzeniowych), ale nie zastępuje wymaganych przez przepisy prawa i normy budowlane obliczeń statyki tych elementów. Schöck udostępnia bezpłatnie narzędzie projektowe w takie postaci jakiej się znajduje wyłącznie, aby zapewnić użytkownikowi narzędzie uzupełniające. Firma Schöck nie ma możliwości sprawdzenia ani monitorowania prawidłowości korzystania z narzędzia przez użytkowników. Schöck udostępnia narzędzie, zastrzegając konieczność używania go przez użytkowników mających odpowiednio wysoki poziom wiedzy specjalistycznej z zakresu budownictwa, nie biorąc równocześnie odpowiedzialności za konsekwencje błędnych obliczeń przy użyciu narzędzia, w szczególności wynikających z błędów oprogramowania narzędzia. W przypadku pytań lub niejasności użytkownik ma obowiązek skontaktować się z firmą Schöck przed wykorzystaniem wyników wstępnych obliczeń na podstawie narzędzia. Schöck nie gwarantuje jak i nie ponosi odpowiedzialności za przydatności narzędzia projektowego i jakość oprogramowania dla indywidualnych celów użytkownika lub kompatybilności z jakimkolwiek innym oprogramowaniem lub sprzętem.
2. Wszelka odpowiedzialność Schöck, zarówno umowna jak i z tytułu rękojmi lub gwarancji związanej z narzędziem projektowym, w tym wynikami jego obliczenia jest wyłączona.  </t>
  </si>
  <si>
    <t>Zapisy o odpowiedzialności za wykonane obliczenia</t>
  </si>
  <si>
    <r>
      <t>kN/m</t>
    </r>
    <r>
      <rPr>
        <vertAlign val="superscript"/>
        <sz val="10"/>
        <color rgb="FF00437B"/>
        <rFont val="Arial"/>
        <family val="2"/>
      </rPr>
      <t>2</t>
    </r>
    <r>
      <rPr>
        <sz val="10"/>
        <color rgb="FF00437B"/>
        <rFont val="Arial"/>
        <family val="2"/>
      </rPr>
      <t xml:space="preserve"> (x 1,35)</t>
    </r>
  </si>
  <si>
    <r>
      <t>kN/m</t>
    </r>
    <r>
      <rPr>
        <vertAlign val="superscript"/>
        <sz val="10"/>
        <color rgb="FF00437B"/>
        <rFont val="Arial"/>
        <family val="2"/>
      </rPr>
      <t>2</t>
    </r>
    <r>
      <rPr>
        <sz val="10"/>
        <color rgb="FF00437B"/>
        <rFont val="Arial"/>
        <family val="2"/>
      </rPr>
      <t xml:space="preserve"> (x 1,5)</t>
    </r>
  </si>
  <si>
    <t>kN (x 1,35)</t>
  </si>
  <si>
    <r>
      <t>kN/m</t>
    </r>
    <r>
      <rPr>
        <vertAlign val="superscript"/>
        <sz val="10"/>
        <color rgb="FF00437B"/>
        <rFont val="Arial"/>
        <family val="2"/>
      </rPr>
      <t>3</t>
    </r>
    <r>
      <rPr>
        <sz val="10"/>
        <color rgb="FF00437B"/>
        <rFont val="Arial"/>
        <family val="2"/>
      </rPr>
      <t xml:space="preserve"> (x 1,35)</t>
    </r>
  </si>
  <si>
    <r>
      <t>kN/m</t>
    </r>
    <r>
      <rPr>
        <vertAlign val="superscript"/>
        <sz val="9"/>
        <color rgb="FF00437B"/>
        <rFont val="Arial"/>
        <family val="2"/>
      </rPr>
      <t>2</t>
    </r>
    <r>
      <rPr>
        <sz val="9"/>
        <color rgb="FF00437B"/>
        <rFont val="Arial"/>
        <family val="2"/>
      </rPr>
      <t xml:space="preserve"> (x 1,35)</t>
    </r>
  </si>
  <si>
    <r>
      <t>kN/m</t>
    </r>
    <r>
      <rPr>
        <vertAlign val="superscript"/>
        <sz val="9"/>
        <color rgb="FF00437B"/>
        <rFont val="Arial"/>
        <family val="2"/>
      </rPr>
      <t>3</t>
    </r>
    <r>
      <rPr>
        <sz val="9"/>
        <color rgb="FF00437B"/>
        <rFont val="Arial"/>
        <family val="2"/>
      </rPr>
      <t xml:space="preserve"> (x 1,35)</t>
    </r>
  </si>
  <si>
    <r>
      <t>kN/m</t>
    </r>
    <r>
      <rPr>
        <vertAlign val="superscript"/>
        <sz val="9"/>
        <color rgb="FF00437B"/>
        <rFont val="Arial"/>
        <family val="2"/>
      </rPr>
      <t>2</t>
    </r>
    <r>
      <rPr>
        <sz val="9"/>
        <color rgb="FF00437B"/>
        <rFont val="Arial"/>
        <family val="2"/>
      </rPr>
      <t xml:space="preserve"> (x 1,5)</t>
    </r>
  </si>
  <si>
    <t>R 120</t>
  </si>
  <si>
    <t>Dł. konsoli</t>
  </si>
  <si>
    <t>Szer. biegu</t>
  </si>
  <si>
    <t>Wys. konsoli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</si>
</sst>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quot;_-;\-* #,##0.00\ &quot;€&quot;_-;_-* &quot;-&quot;??\ &quot;€&quot;_-;_-@_-"/>
    <numFmt numFmtId="43" formatCode="_-* #,##0.00_-;\-* #,##0.00_-;_-* &quot;-&quot;??_-;_-@_-"/>
    <numFmt numFmtId="164" formatCode="_(* #,##0.00_);_(* \(#,##0.00\);_(* &quot;-&quot;??_);_(@_)"/>
    <numFmt numFmtId="165" formatCode="0.0"/>
    <numFmt numFmtId="166" formatCode="dd/mm/yyyy;@"/>
    <numFmt numFmtId="167" formatCode="_-* #,##0.00\ [$€]_-;\-* #,##0.00\ [$€]_-;_-* &quot;-&quot;??\ [$€]_-;_-@_-"/>
    <numFmt numFmtId="168" formatCode="0.00\ &quot;m&quot;"/>
    <numFmt numFmtId="169" formatCode="0.00\ &quot;kN/m &quot;"/>
    <numFmt numFmtId="170" formatCode="0.0\ &quot;kN/m²&quot;"/>
    <numFmt numFmtId="171" formatCode="0.0\ &quot;kN &quot;"/>
    <numFmt numFmtId="172" formatCode="0.00\ &quot;cm&quot;"/>
  </numFmts>
  <fonts count="83" x14ac:knownFonts="1">
    <font>
      <sz val="11"/>
      <color theme="1"/>
      <name val="Calibri"/>
      <family val="2"/>
      <scheme val="minor"/>
    </font>
    <font>
      <sz val="11"/>
      <color theme="1"/>
      <name val="Arial"/>
      <family val="2"/>
    </font>
    <font>
      <sz val="11"/>
      <color theme="1"/>
      <name val="Arial"/>
      <family val="2"/>
    </font>
    <font>
      <sz val="11"/>
      <color theme="1"/>
      <name val="Arial"/>
      <family val="2"/>
    </font>
    <font>
      <b/>
      <sz val="11"/>
      <color theme="1"/>
      <name val="Calibri"/>
      <family val="2"/>
      <scheme val="minor"/>
    </font>
    <font>
      <sz val="10"/>
      <name val="Arial"/>
      <family val="2"/>
    </font>
    <font>
      <sz val="10"/>
      <name val="Arial"/>
      <family val="2"/>
    </font>
    <font>
      <sz val="9"/>
      <name val="Arial"/>
      <family val="2"/>
    </font>
    <font>
      <sz val="12"/>
      <name val="Arial"/>
      <family val="2"/>
    </font>
    <font>
      <b/>
      <sz val="10"/>
      <name val="Arial"/>
      <family val="2"/>
    </font>
    <font>
      <sz val="8"/>
      <name val="Arial"/>
      <family val="2"/>
    </font>
    <font>
      <b/>
      <sz val="11"/>
      <name val="Arial"/>
      <family val="2"/>
    </font>
    <font>
      <vertAlign val="subscript"/>
      <sz val="9"/>
      <name val="Arial"/>
      <family val="2"/>
    </font>
    <font>
      <b/>
      <sz val="9"/>
      <name val="Arial"/>
      <family val="2"/>
    </font>
    <font>
      <b/>
      <sz val="9"/>
      <color rgb="FF0000FF"/>
      <name val="Arial"/>
      <family val="2"/>
    </font>
    <font>
      <sz val="10"/>
      <color theme="1"/>
      <name val="Arial"/>
      <family val="2"/>
    </font>
    <font>
      <b/>
      <sz val="10"/>
      <color theme="1"/>
      <name val="Arial"/>
      <family val="2"/>
    </font>
    <font>
      <b/>
      <sz val="8"/>
      <name val="Arial"/>
      <family val="2"/>
    </font>
    <font>
      <u/>
      <sz val="11"/>
      <color theme="10"/>
      <name val="Calibri"/>
      <family val="2"/>
      <scheme val="minor"/>
    </font>
    <font>
      <vertAlign val="subscript"/>
      <sz val="11"/>
      <color theme="1"/>
      <name val="Calibri"/>
      <family val="2"/>
      <scheme val="minor"/>
    </font>
    <font>
      <sz val="10"/>
      <name val="Arial"/>
      <family val="2"/>
    </font>
    <font>
      <sz val="6"/>
      <name val="Arial"/>
      <family val="2"/>
    </font>
    <font>
      <b/>
      <u/>
      <sz val="10"/>
      <name val="Arial"/>
      <family val="2"/>
    </font>
    <font>
      <u/>
      <sz val="10"/>
      <color theme="10"/>
      <name val="Arial"/>
      <family val="2"/>
    </font>
    <font>
      <b/>
      <u/>
      <sz val="11"/>
      <name val="Arial"/>
      <family val="2"/>
    </font>
    <font>
      <b/>
      <sz val="12"/>
      <name val="Arial"/>
      <family val="2"/>
    </font>
    <font>
      <b/>
      <sz val="16"/>
      <name val="Arial"/>
      <family val="2"/>
    </font>
    <font>
      <b/>
      <vertAlign val="subscript"/>
      <sz val="11"/>
      <name val="Arial"/>
      <family val="2"/>
    </font>
    <font>
      <sz val="14"/>
      <color theme="3"/>
      <name val="Calibri"/>
      <family val="2"/>
      <scheme val="minor"/>
    </font>
    <font>
      <b/>
      <sz val="9"/>
      <color theme="3"/>
      <name val="Arial"/>
      <family val="2"/>
    </font>
    <font>
      <sz val="11"/>
      <color theme="3"/>
      <name val="Calibri"/>
      <family val="2"/>
      <scheme val="minor"/>
    </font>
    <font>
      <sz val="10"/>
      <color theme="3"/>
      <name val="Arial"/>
      <family val="2"/>
    </font>
    <font>
      <b/>
      <sz val="11"/>
      <color theme="1"/>
      <name val="Arial"/>
      <family val="2"/>
    </font>
    <font>
      <b/>
      <sz val="11"/>
      <color theme="1"/>
      <name val="Calibri"/>
      <family val="2"/>
    </font>
    <font>
      <b/>
      <vertAlign val="subscript"/>
      <sz val="11"/>
      <color theme="1"/>
      <name val="Calibri"/>
      <family val="2"/>
    </font>
    <font>
      <b/>
      <sz val="10"/>
      <color rgb="FFFF0000"/>
      <name val="Arial"/>
      <family val="2"/>
    </font>
    <font>
      <sz val="8"/>
      <name val="Calibri"/>
      <family val="2"/>
      <scheme val="minor"/>
    </font>
    <font>
      <sz val="9"/>
      <color theme="1"/>
      <name val="Arial"/>
      <family val="2"/>
    </font>
    <font>
      <vertAlign val="subscript"/>
      <sz val="9"/>
      <color theme="1"/>
      <name val="Arial"/>
      <family val="2"/>
    </font>
    <font>
      <b/>
      <sz val="9"/>
      <color theme="1"/>
      <name val="Arial"/>
      <family val="2"/>
    </font>
    <font>
      <sz val="11"/>
      <color theme="1"/>
      <name val="Calibri"/>
      <family val="2"/>
      <scheme val="minor"/>
    </font>
    <font>
      <b/>
      <vertAlign val="subscript"/>
      <sz val="9"/>
      <color theme="1"/>
      <name val="Arial"/>
      <family val="2"/>
    </font>
    <font>
      <sz val="28"/>
      <color theme="1"/>
      <name val="Arial"/>
      <family val="2"/>
    </font>
    <font>
      <vertAlign val="subscript"/>
      <sz val="10"/>
      <color theme="1"/>
      <name val="Arial"/>
      <family val="2"/>
    </font>
    <font>
      <vertAlign val="subscript"/>
      <sz val="10"/>
      <name val="Arial"/>
      <family val="2"/>
    </font>
    <font>
      <b/>
      <vertAlign val="subscript"/>
      <sz val="10"/>
      <color theme="1"/>
      <name val="Arial"/>
      <family val="2"/>
    </font>
    <font>
      <sz val="11"/>
      <color theme="0"/>
      <name val="Calibri"/>
      <family val="2"/>
      <scheme val="minor"/>
    </font>
    <font>
      <b/>
      <sz val="12"/>
      <color rgb="FFFF0000"/>
      <name val="Calibri"/>
      <family val="2"/>
      <scheme val="minor"/>
    </font>
    <font>
      <b/>
      <u/>
      <sz val="11"/>
      <color theme="1"/>
      <name val="Calibri"/>
      <family val="2"/>
      <scheme val="minor"/>
    </font>
    <font>
      <sz val="14"/>
      <color rgb="FF00437B"/>
      <name val="Calibri"/>
      <family val="2"/>
      <scheme val="minor"/>
    </font>
    <font>
      <sz val="10"/>
      <color rgb="FF00437B"/>
      <name val="Arial"/>
      <family val="2"/>
    </font>
    <font>
      <b/>
      <sz val="10"/>
      <color rgb="FF00437B"/>
      <name val="Arial"/>
      <family val="2"/>
    </font>
    <font>
      <b/>
      <sz val="12"/>
      <color rgb="FF00437B"/>
      <name val="Arial"/>
      <family val="2"/>
    </font>
    <font>
      <b/>
      <vertAlign val="superscript"/>
      <sz val="12"/>
      <color rgb="FF00437B"/>
      <name val="Arial"/>
      <family val="2"/>
    </font>
    <font>
      <vertAlign val="superscript"/>
      <sz val="10"/>
      <color rgb="FF00437B"/>
      <name val="Arial"/>
      <family val="2"/>
    </font>
    <font>
      <i/>
      <sz val="10"/>
      <color rgb="FF00437B"/>
      <name val="Arial"/>
      <family val="2"/>
    </font>
    <font>
      <vertAlign val="subscript"/>
      <sz val="10"/>
      <color rgb="FF00437B"/>
      <name val="Arial"/>
      <family val="2"/>
    </font>
    <font>
      <b/>
      <vertAlign val="subscript"/>
      <sz val="12"/>
      <color rgb="FF00437B"/>
      <name val="Arial"/>
      <family val="2"/>
    </font>
    <font>
      <b/>
      <vertAlign val="subscript"/>
      <sz val="10"/>
      <color rgb="FF00437B"/>
      <name val="Arial"/>
      <family val="2"/>
    </font>
    <font>
      <b/>
      <sz val="10"/>
      <color rgb="FF00437B"/>
      <name val="Wingdings"/>
      <charset val="2"/>
    </font>
    <font>
      <sz val="11"/>
      <color rgb="FF00437B"/>
      <name val="Arial"/>
      <family val="2"/>
    </font>
    <font>
      <b/>
      <sz val="9"/>
      <color rgb="FF00437B"/>
      <name val="Arial"/>
      <family val="2"/>
    </font>
    <font>
      <sz val="9"/>
      <color rgb="FF00437B"/>
      <name val="Arial"/>
      <family val="2"/>
    </font>
    <font>
      <b/>
      <sz val="8"/>
      <color rgb="FF00437B"/>
      <name val="Arial"/>
      <family val="2"/>
    </font>
    <font>
      <b/>
      <sz val="14"/>
      <color rgb="FF00437B"/>
      <name val="Arial"/>
      <family val="2"/>
    </font>
    <font>
      <b/>
      <sz val="11"/>
      <color rgb="FF00437B"/>
      <name val="Arial"/>
      <family val="2"/>
    </font>
    <font>
      <vertAlign val="superscript"/>
      <sz val="9"/>
      <color rgb="FF00437B"/>
      <name val="Arial"/>
      <family val="2"/>
    </font>
    <font>
      <sz val="11"/>
      <color rgb="FF00437B"/>
      <name val="Calibri"/>
      <family val="2"/>
      <scheme val="minor"/>
    </font>
    <font>
      <vertAlign val="subscript"/>
      <sz val="9"/>
      <color rgb="FF00437B"/>
      <name val="Arial"/>
      <family val="2"/>
    </font>
    <font>
      <vertAlign val="subscript"/>
      <sz val="11"/>
      <color rgb="FF00437B"/>
      <name val="Calibri"/>
      <family val="2"/>
      <scheme val="minor"/>
    </font>
    <font>
      <b/>
      <vertAlign val="subscript"/>
      <sz val="9"/>
      <color rgb="FF00437B"/>
      <name val="Arial"/>
      <family val="2"/>
    </font>
    <font>
      <b/>
      <sz val="11"/>
      <color rgb="FF00437B"/>
      <name val="Wingdings"/>
      <charset val="2"/>
    </font>
    <font>
      <i/>
      <sz val="11"/>
      <color theme="1"/>
      <name val="Arial"/>
      <family val="2"/>
    </font>
    <font>
      <b/>
      <i/>
      <sz val="11"/>
      <color theme="1"/>
      <name val="Arial"/>
      <family val="2"/>
    </font>
    <font>
      <sz val="11"/>
      <color theme="1"/>
      <name val="Calibri"/>
      <family val="2"/>
    </font>
    <font>
      <sz val="11"/>
      <color rgb="FFFF0000"/>
      <name val="Calibri"/>
      <family val="2"/>
      <scheme val="minor"/>
    </font>
    <font>
      <b/>
      <sz val="11"/>
      <color rgb="FFFF0000"/>
      <name val="Calibri"/>
      <family val="2"/>
      <scheme val="minor"/>
    </font>
    <font>
      <b/>
      <u/>
      <sz val="11"/>
      <color rgb="FFFF0000"/>
      <name val="Calibri"/>
      <family val="2"/>
      <scheme val="minor"/>
    </font>
    <font>
      <u/>
      <sz val="11"/>
      <color rgb="FFFF0000"/>
      <name val="Calibri"/>
      <family val="2"/>
      <scheme val="minor"/>
    </font>
    <font>
      <b/>
      <sz val="72"/>
      <color theme="1"/>
      <name val="Calibri"/>
      <family val="2"/>
      <scheme val="minor"/>
    </font>
    <font>
      <b/>
      <u/>
      <sz val="11"/>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3" tint="0.59999389629810485"/>
        <bgColor indexed="64"/>
      </patternFill>
    </fill>
  </fills>
  <borders count="9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auto="1"/>
      </top>
      <bottom style="thin">
        <color auto="1"/>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right style="thin">
        <color indexed="64"/>
      </right>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thin">
        <color indexed="64"/>
      </right>
      <top style="dotted">
        <color indexed="64"/>
      </top>
      <bottom/>
      <diagonal/>
    </border>
    <border>
      <left style="thin">
        <color indexed="64"/>
      </left>
      <right/>
      <top/>
      <bottom style="medium">
        <color indexed="64"/>
      </bottom>
      <diagonal/>
    </border>
    <border>
      <left/>
      <right/>
      <top/>
      <bottom style="double">
        <color indexed="64"/>
      </bottom>
      <diagonal/>
    </border>
    <border>
      <left style="thin">
        <color indexed="64"/>
      </left>
      <right/>
      <top style="dotted">
        <color indexed="64"/>
      </top>
      <bottom/>
      <diagonal/>
    </border>
    <border>
      <left style="thin">
        <color indexed="64"/>
      </left>
      <right/>
      <top/>
      <bottom style="dotted">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tted">
        <color indexed="64"/>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29">
    <xf numFmtId="0" fontId="0" fillId="0" borderId="0"/>
    <xf numFmtId="0" fontId="5"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8" fillId="0" borderId="0"/>
    <xf numFmtId="9" fontId="8" fillId="0" borderId="0" applyFont="0" applyFill="0" applyBorder="0" applyAlignment="0" applyProtection="0"/>
    <xf numFmtId="0" fontId="15" fillId="0" borderId="0"/>
    <xf numFmtId="9" fontId="15" fillId="0" borderId="0" applyFont="0" applyFill="0" applyBorder="0" applyAlignment="0" applyProtection="0"/>
    <xf numFmtId="0" fontId="18" fillId="0" borderId="0" applyNumberFormat="0" applyFill="0" applyBorder="0" applyAlignment="0" applyProtection="0"/>
    <xf numFmtId="0" fontId="20" fillId="0" borderId="0"/>
    <xf numFmtId="9" fontId="5" fillId="0" borderId="0" applyFont="0" applyFill="0" applyBorder="0" applyAlignment="0" applyProtection="0"/>
    <xf numFmtId="0" fontId="23" fillId="0" borderId="0" applyNumberFormat="0" applyFill="0" applyBorder="0" applyAlignment="0" applyProtection="0"/>
    <xf numFmtId="43" fontId="40" fillId="0" borderId="0" applyFont="0" applyFill="0" applyBorder="0" applyAlignment="0" applyProtection="0"/>
    <xf numFmtId="0" fontId="3" fillId="0" borderId="0"/>
  </cellStyleXfs>
  <cellXfs count="1190">
    <xf numFmtId="0" fontId="0" fillId="0" borderId="0" xfId="0"/>
    <xf numFmtId="0" fontId="0" fillId="3" borderId="0" xfId="0" applyFill="1"/>
    <xf numFmtId="0" fontId="0" fillId="3" borderId="1" xfId="0" applyFill="1" applyBorder="1"/>
    <xf numFmtId="0" fontId="20" fillId="4" borderId="0" xfId="24" applyFill="1" applyProtection="1">
      <protection hidden="1"/>
    </xf>
    <xf numFmtId="0" fontId="5" fillId="4" borderId="0" xfId="19" applyFont="1" applyFill="1" applyProtection="1">
      <protection hidden="1"/>
    </xf>
    <xf numFmtId="0" fontId="5" fillId="4" borderId="0" xfId="24" applyFont="1" applyFill="1" applyProtection="1">
      <protection hidden="1"/>
    </xf>
    <xf numFmtId="0" fontId="8" fillId="4" borderId="0" xfId="19" applyFill="1" applyAlignment="1" applyProtection="1">
      <alignment horizontal="center" vertical="center"/>
      <protection hidden="1"/>
    </xf>
    <xf numFmtId="0" fontId="20" fillId="4" borderId="0" xfId="24" applyFill="1" applyAlignment="1" applyProtection="1">
      <alignment vertical="center"/>
      <protection hidden="1"/>
    </xf>
    <xf numFmtId="0" fontId="0" fillId="4" borderId="0" xfId="0" applyFill="1"/>
    <xf numFmtId="0" fontId="5" fillId="3" borderId="1" xfId="19" applyFont="1" applyFill="1" applyBorder="1" applyProtection="1">
      <protection hidden="1"/>
    </xf>
    <xf numFmtId="166" fontId="14" fillId="3" borderId="1" xfId="21" applyNumberFormat="1" applyFont="1" applyFill="1" applyBorder="1" applyAlignment="1">
      <alignment horizontal="center" vertical="center"/>
    </xf>
    <xf numFmtId="0" fontId="0" fillId="3" borderId="1" xfId="0" applyFill="1" applyBorder="1" applyAlignment="1">
      <alignment horizontal="right"/>
    </xf>
    <xf numFmtId="0" fontId="0" fillId="3" borderId="31" xfId="0" applyFill="1" applyBorder="1"/>
    <xf numFmtId="0" fontId="0" fillId="3" borderId="20" xfId="0" applyFill="1" applyBorder="1"/>
    <xf numFmtId="0" fontId="0" fillId="3" borderId="21" xfId="0" applyFill="1" applyBorder="1"/>
    <xf numFmtId="0" fontId="0" fillId="3" borderId="22" xfId="0" applyFill="1" applyBorder="1"/>
    <xf numFmtId="0" fontId="0" fillId="3" borderId="2" xfId="0" applyFill="1" applyBorder="1"/>
    <xf numFmtId="0" fontId="0" fillId="3" borderId="23" xfId="0" applyFill="1" applyBorder="1"/>
    <xf numFmtId="0" fontId="0" fillId="3" borderId="28" xfId="0" applyFill="1" applyBorder="1"/>
    <xf numFmtId="2" fontId="29" fillId="4" borderId="1" xfId="21" applyNumberFormat="1" applyFont="1" applyFill="1" applyBorder="1" applyAlignment="1" applyProtection="1">
      <alignment horizontal="center" vertical="center"/>
      <protection locked="0"/>
    </xf>
    <xf numFmtId="0" fontId="30" fillId="0" borderId="0" xfId="0" applyFont="1"/>
    <xf numFmtId="0" fontId="16" fillId="6" borderId="0" xfId="21" applyFont="1" applyFill="1" applyAlignment="1">
      <alignment horizontal="right"/>
    </xf>
    <xf numFmtId="0" fontId="13" fillId="6" borderId="1" xfId="21" applyFont="1" applyFill="1" applyBorder="1"/>
    <xf numFmtId="0" fontId="16" fillId="6" borderId="0" xfId="21" applyFont="1" applyFill="1"/>
    <xf numFmtId="0" fontId="7" fillId="6" borderId="0" xfId="21" applyFont="1" applyFill="1" applyAlignment="1">
      <alignment horizontal="left" vertical="center"/>
    </xf>
    <xf numFmtId="0" fontId="7" fillId="6" borderId="1" xfId="21" applyFont="1" applyFill="1" applyBorder="1" applyAlignment="1">
      <alignment horizontal="left" vertical="center"/>
    </xf>
    <xf numFmtId="0" fontId="16" fillId="5" borderId="1" xfId="21" applyFont="1" applyFill="1" applyBorder="1"/>
    <xf numFmtId="2" fontId="16" fillId="5" borderId="1" xfId="21" applyNumberFormat="1" applyFont="1" applyFill="1" applyBorder="1"/>
    <xf numFmtId="0" fontId="7" fillId="5" borderId="20" xfId="21" applyFont="1" applyFill="1" applyBorder="1" applyAlignment="1">
      <alignment vertical="center"/>
    </xf>
    <xf numFmtId="0" fontId="7" fillId="5" borderId="0" xfId="21" applyFont="1" applyFill="1" applyAlignment="1">
      <alignment vertical="center"/>
    </xf>
    <xf numFmtId="0" fontId="7" fillId="5" borderId="0" xfId="13" applyFont="1" applyFill="1" applyAlignment="1">
      <alignment horizontal="left" vertical="center"/>
    </xf>
    <xf numFmtId="0" fontId="7" fillId="5" borderId="1" xfId="13" applyFont="1" applyFill="1" applyBorder="1" applyAlignment="1">
      <alignment horizontal="left" vertical="center"/>
    </xf>
    <xf numFmtId="0" fontId="13" fillId="2" borderId="10" xfId="21" applyFont="1" applyFill="1" applyBorder="1"/>
    <xf numFmtId="0" fontId="13" fillId="2" borderId="6" xfId="21" applyFont="1" applyFill="1" applyBorder="1"/>
    <xf numFmtId="0" fontId="13" fillId="2" borderId="9" xfId="21" applyFont="1" applyFill="1" applyBorder="1"/>
    <xf numFmtId="49" fontId="13" fillId="2" borderId="0" xfId="21" applyNumberFormat="1" applyFont="1" applyFill="1"/>
    <xf numFmtId="0" fontId="13" fillId="2" borderId="0" xfId="21" applyFont="1" applyFill="1"/>
    <xf numFmtId="0" fontId="13" fillId="2" borderId="25" xfId="21" applyFont="1" applyFill="1" applyBorder="1"/>
    <xf numFmtId="49" fontId="13" fillId="2" borderId="20" xfId="21" applyNumberFormat="1" applyFont="1" applyFill="1" applyBorder="1"/>
    <xf numFmtId="0" fontId="13" fillId="2" borderId="19" xfId="21" applyFont="1" applyFill="1" applyBorder="1"/>
    <xf numFmtId="0" fontId="13" fillId="2" borderId="1" xfId="21" applyFont="1" applyFill="1" applyBorder="1"/>
    <xf numFmtId="0" fontId="0" fillId="2" borderId="9" xfId="0" applyFill="1" applyBorder="1"/>
    <xf numFmtId="0" fontId="0" fillId="2" borderId="0" xfId="0" applyFill="1"/>
    <xf numFmtId="0" fontId="0" fillId="2" borderId="19" xfId="0" applyFill="1" applyBorder="1"/>
    <xf numFmtId="0" fontId="0" fillId="2" borderId="1" xfId="0" applyFill="1" applyBorder="1"/>
    <xf numFmtId="0" fontId="0" fillId="2" borderId="6" xfId="0" applyFill="1" applyBorder="1"/>
    <xf numFmtId="0" fontId="0" fillId="2" borderId="11" xfId="0" applyFill="1" applyBorder="1"/>
    <xf numFmtId="0" fontId="0" fillId="2" borderId="12" xfId="0" applyFill="1" applyBorder="1"/>
    <xf numFmtId="0" fontId="13" fillId="2" borderId="20" xfId="21" applyFont="1" applyFill="1" applyBorder="1"/>
    <xf numFmtId="2" fontId="16" fillId="2" borderId="0" xfId="21" applyNumberFormat="1" applyFont="1" applyFill="1"/>
    <xf numFmtId="0" fontId="16" fillId="2" borderId="0" xfId="21" applyFont="1" applyFill="1"/>
    <xf numFmtId="0" fontId="0" fillId="5" borderId="12" xfId="0" applyFill="1" applyBorder="1"/>
    <xf numFmtId="0" fontId="0" fillId="2" borderId="18" xfId="0" applyFill="1" applyBorder="1"/>
    <xf numFmtId="16" fontId="13" fillId="2" borderId="0" xfId="21" quotePrefix="1" applyNumberFormat="1" applyFont="1" applyFill="1"/>
    <xf numFmtId="0" fontId="4" fillId="2" borderId="0" xfId="0" applyFont="1" applyFill="1"/>
    <xf numFmtId="16" fontId="13" fillId="2" borderId="20" xfId="21" quotePrefix="1" applyNumberFormat="1" applyFont="1" applyFill="1" applyBorder="1"/>
    <xf numFmtId="0" fontId="4" fillId="2" borderId="9" xfId="0" applyFont="1" applyFill="1" applyBorder="1"/>
    <xf numFmtId="0" fontId="0" fillId="2" borderId="13" xfId="0" applyFill="1" applyBorder="1"/>
    <xf numFmtId="0" fontId="0" fillId="2" borderId="3" xfId="0" applyFill="1" applyBorder="1"/>
    <xf numFmtId="0" fontId="0" fillId="2" borderId="14" xfId="0" applyFill="1" applyBorder="1"/>
    <xf numFmtId="0" fontId="4" fillId="7" borderId="33" xfId="0" applyFont="1" applyFill="1" applyBorder="1" applyAlignment="1">
      <alignment horizontal="center" wrapText="1"/>
    </xf>
    <xf numFmtId="0" fontId="4" fillId="7" borderId="41" xfId="0" applyFont="1" applyFill="1" applyBorder="1"/>
    <xf numFmtId="0" fontId="4" fillId="7" borderId="42" xfId="0" applyFont="1" applyFill="1" applyBorder="1"/>
    <xf numFmtId="0" fontId="4" fillId="7" borderId="33" xfId="0" applyFont="1" applyFill="1" applyBorder="1" applyAlignment="1">
      <alignment horizontal="right"/>
    </xf>
    <xf numFmtId="0" fontId="4" fillId="7" borderId="33" xfId="0" applyFont="1" applyFill="1" applyBorder="1"/>
    <xf numFmtId="0" fontId="4" fillId="7" borderId="34" xfId="0" applyFont="1" applyFill="1" applyBorder="1"/>
    <xf numFmtId="0" fontId="4" fillId="7" borderId="35" xfId="0" applyFont="1" applyFill="1" applyBorder="1"/>
    <xf numFmtId="165" fontId="0" fillId="3" borderId="28" xfId="0" applyNumberFormat="1" applyFill="1" applyBorder="1"/>
    <xf numFmtId="165" fontId="0" fillId="3" borderId="37" xfId="0" applyNumberFormat="1" applyFill="1" applyBorder="1"/>
    <xf numFmtId="165" fontId="0" fillId="3" borderId="5" xfId="0" applyNumberFormat="1" applyFill="1" applyBorder="1"/>
    <xf numFmtId="165" fontId="0" fillId="3" borderId="7" xfId="0" applyNumberFormat="1" applyFill="1" applyBorder="1"/>
    <xf numFmtId="165" fontId="0" fillId="3" borderId="41" xfId="0" applyNumberFormat="1" applyFill="1" applyBorder="1"/>
    <xf numFmtId="165" fontId="0" fillId="3" borderId="42" xfId="0" applyNumberFormat="1" applyFill="1" applyBorder="1"/>
    <xf numFmtId="0" fontId="4" fillId="2" borderId="7" xfId="0" applyFont="1" applyFill="1" applyBorder="1"/>
    <xf numFmtId="0" fontId="0" fillId="2" borderId="7" xfId="0" applyFill="1" applyBorder="1"/>
    <xf numFmtId="0" fontId="0" fillId="3" borderId="7" xfId="0" applyFill="1" applyBorder="1"/>
    <xf numFmtId="0" fontId="4" fillId="2" borderId="10" xfId="0" applyFont="1" applyFill="1" applyBorder="1"/>
    <xf numFmtId="0" fontId="4" fillId="2" borderId="19" xfId="0" applyFont="1" applyFill="1" applyBorder="1"/>
    <xf numFmtId="165" fontId="0" fillId="2" borderId="0" xfId="0" applyNumberFormat="1" applyFill="1"/>
    <xf numFmtId="0" fontId="7" fillId="6" borderId="20" xfId="21" applyFont="1" applyFill="1" applyBorder="1" applyAlignment="1">
      <alignment horizontal="left" vertical="center"/>
    </xf>
    <xf numFmtId="0" fontId="18" fillId="4" borderId="0" xfId="23" applyFill="1" applyBorder="1" applyAlignment="1" applyProtection="1">
      <alignment vertical="center" wrapText="1"/>
      <protection hidden="1"/>
    </xf>
    <xf numFmtId="0" fontId="0" fillId="5" borderId="9" xfId="0" applyFill="1" applyBorder="1"/>
    <xf numFmtId="0" fontId="0" fillId="5" borderId="14" xfId="0" applyFill="1" applyBorder="1"/>
    <xf numFmtId="0" fontId="0" fillId="6" borderId="54" xfId="0" applyFill="1" applyBorder="1"/>
    <xf numFmtId="0" fontId="0" fillId="6" borderId="56" xfId="0" applyFill="1" applyBorder="1"/>
    <xf numFmtId="0" fontId="4" fillId="7" borderId="35" xfId="0" applyFont="1" applyFill="1" applyBorder="1" applyAlignment="1">
      <alignment horizontal="center" wrapText="1"/>
    </xf>
    <xf numFmtId="0" fontId="4" fillId="7" borderId="43" xfId="0" applyFont="1" applyFill="1" applyBorder="1"/>
    <xf numFmtId="165" fontId="0" fillId="3" borderId="57" xfId="0" applyNumberFormat="1" applyFill="1" applyBorder="1"/>
    <xf numFmtId="165" fontId="0" fillId="3" borderId="29" xfId="0" applyNumberFormat="1" applyFill="1" applyBorder="1"/>
    <xf numFmtId="165" fontId="0" fillId="3" borderId="43" xfId="0" applyNumberFormat="1" applyFill="1" applyBorder="1"/>
    <xf numFmtId="0" fontId="37" fillId="6" borderId="0" xfId="0" applyFont="1" applyFill="1"/>
    <xf numFmtId="1" fontId="37" fillId="5" borderId="0" xfId="0" applyNumberFormat="1" applyFont="1" applyFill="1"/>
    <xf numFmtId="0" fontId="37" fillId="5" borderId="0" xfId="0" applyFont="1" applyFill="1"/>
    <xf numFmtId="0" fontId="37" fillId="2" borderId="0" xfId="0" applyFont="1" applyFill="1"/>
    <xf numFmtId="0" fontId="37" fillId="5" borderId="12" xfId="0" applyFont="1" applyFill="1" applyBorder="1"/>
    <xf numFmtId="2" fontId="37" fillId="5" borderId="0" xfId="0" applyNumberFormat="1" applyFont="1" applyFill="1"/>
    <xf numFmtId="0" fontId="37" fillId="2" borderId="1" xfId="0" applyFont="1" applyFill="1" applyBorder="1"/>
    <xf numFmtId="0" fontId="37" fillId="2" borderId="18" xfId="0" applyFont="1" applyFill="1" applyBorder="1"/>
    <xf numFmtId="0" fontId="37" fillId="6" borderId="20" xfId="0" applyFont="1" applyFill="1" applyBorder="1"/>
    <xf numFmtId="2" fontId="37" fillId="5" borderId="20" xfId="0" applyNumberFormat="1" applyFont="1" applyFill="1" applyBorder="1"/>
    <xf numFmtId="0" fontId="37" fillId="6" borderId="1" xfId="0" applyFont="1" applyFill="1" applyBorder="1"/>
    <xf numFmtId="2" fontId="37" fillId="5" borderId="1" xfId="0" applyNumberFormat="1" applyFont="1" applyFill="1" applyBorder="1"/>
    <xf numFmtId="2" fontId="0" fillId="5" borderId="13" xfId="0" applyNumberFormat="1" applyFill="1" applyBorder="1"/>
    <xf numFmtId="0" fontId="37" fillId="2" borderId="6" xfId="0" applyFont="1" applyFill="1" applyBorder="1"/>
    <xf numFmtId="0" fontId="37" fillId="2" borderId="11" xfId="0" applyFont="1" applyFill="1" applyBorder="1"/>
    <xf numFmtId="0" fontId="37" fillId="5" borderId="53" xfId="0" applyFont="1" applyFill="1" applyBorder="1"/>
    <xf numFmtId="1" fontId="37" fillId="5" borderId="20" xfId="0" applyNumberFormat="1" applyFont="1" applyFill="1" applyBorder="1"/>
    <xf numFmtId="1" fontId="37" fillId="5" borderId="1" xfId="0" applyNumberFormat="1" applyFont="1" applyFill="1" applyBorder="1"/>
    <xf numFmtId="0" fontId="37" fillId="5" borderId="18" xfId="0" applyFont="1" applyFill="1" applyBorder="1"/>
    <xf numFmtId="0" fontId="37" fillId="2" borderId="9" xfId="0" applyFont="1" applyFill="1" applyBorder="1"/>
    <xf numFmtId="0" fontId="37" fillId="2" borderId="12" xfId="0" applyFont="1" applyFill="1" applyBorder="1"/>
    <xf numFmtId="0" fontId="37" fillId="6" borderId="12" xfId="0" applyFont="1" applyFill="1" applyBorder="1"/>
    <xf numFmtId="0" fontId="37" fillId="2" borderId="19" xfId="0" applyFont="1" applyFill="1" applyBorder="1"/>
    <xf numFmtId="0" fontId="39" fillId="5" borderId="1" xfId="21" applyFont="1" applyFill="1" applyBorder="1"/>
    <xf numFmtId="0" fontId="37" fillId="5" borderId="1" xfId="0" applyFont="1" applyFill="1" applyBorder="1"/>
    <xf numFmtId="0" fontId="37" fillId="5" borderId="1" xfId="21" applyFont="1" applyFill="1" applyBorder="1"/>
    <xf numFmtId="2" fontId="39" fillId="5" borderId="1" xfId="21" applyNumberFormat="1" applyFont="1" applyFill="1" applyBorder="1"/>
    <xf numFmtId="0" fontId="37" fillId="2" borderId="20" xfId="0" applyFont="1" applyFill="1" applyBorder="1"/>
    <xf numFmtId="0" fontId="37" fillId="2" borderId="53" xfId="0" applyFont="1" applyFill="1" applyBorder="1"/>
    <xf numFmtId="0" fontId="39" fillId="7" borderId="33" xfId="0" applyFont="1" applyFill="1" applyBorder="1" applyAlignment="1">
      <alignment horizontal="center" wrapText="1"/>
    </xf>
    <xf numFmtId="0" fontId="39" fillId="7" borderId="36" xfId="0" applyFont="1" applyFill="1" applyBorder="1" applyAlignment="1">
      <alignment horizontal="center" wrapText="1"/>
    </xf>
    <xf numFmtId="0" fontId="39" fillId="7" borderId="33" xfId="0" applyFont="1" applyFill="1" applyBorder="1" applyAlignment="1">
      <alignment horizontal="center"/>
    </xf>
    <xf numFmtId="0" fontId="39" fillId="7" borderId="35" xfId="0" applyFont="1" applyFill="1" applyBorder="1" applyAlignment="1">
      <alignment horizontal="right"/>
    </xf>
    <xf numFmtId="0" fontId="39" fillId="7" borderId="41" xfId="0" applyFont="1" applyFill="1" applyBorder="1"/>
    <xf numFmtId="0" fontId="39" fillId="7" borderId="42" xfId="0" applyFont="1" applyFill="1" applyBorder="1"/>
    <xf numFmtId="0" fontId="39" fillId="7" borderId="48" xfId="0" applyFont="1" applyFill="1" applyBorder="1"/>
    <xf numFmtId="0" fontId="39" fillId="7" borderId="33" xfId="0" applyFont="1" applyFill="1" applyBorder="1" applyAlignment="1">
      <alignment horizontal="right"/>
    </xf>
    <xf numFmtId="0" fontId="39" fillId="7" borderId="33" xfId="0" applyFont="1" applyFill="1" applyBorder="1"/>
    <xf numFmtId="165" fontId="37" fillId="3" borderId="28" xfId="0" applyNumberFormat="1" applyFont="1" applyFill="1" applyBorder="1"/>
    <xf numFmtId="165" fontId="37" fillId="3" borderId="37" xfId="0" applyNumberFormat="1" applyFont="1" applyFill="1" applyBorder="1"/>
    <xf numFmtId="165" fontId="37" fillId="3" borderId="23" xfId="0" applyNumberFormat="1" applyFont="1" applyFill="1" applyBorder="1"/>
    <xf numFmtId="0" fontId="37" fillId="3" borderId="36" xfId="0" applyFont="1" applyFill="1" applyBorder="1" applyAlignment="1">
      <alignment horizontal="right"/>
    </xf>
    <xf numFmtId="0" fontId="39" fillId="7" borderId="34" xfId="0" applyFont="1" applyFill="1" applyBorder="1"/>
    <xf numFmtId="165" fontId="37" fillId="3" borderId="5" xfId="0" applyNumberFormat="1" applyFont="1" applyFill="1" applyBorder="1"/>
    <xf numFmtId="165" fontId="37" fillId="3" borderId="7" xfId="0" applyNumberFormat="1" applyFont="1" applyFill="1" applyBorder="1"/>
    <xf numFmtId="165" fontId="37" fillId="3" borderId="8" xfId="0" applyNumberFormat="1" applyFont="1" applyFill="1" applyBorder="1"/>
    <xf numFmtId="0" fontId="37" fillId="3" borderId="34" xfId="0" applyFont="1" applyFill="1" applyBorder="1" applyAlignment="1">
      <alignment horizontal="right"/>
    </xf>
    <xf numFmtId="0" fontId="37" fillId="6" borderId="54" xfId="0" applyFont="1" applyFill="1" applyBorder="1"/>
    <xf numFmtId="0" fontId="37" fillId="6" borderId="56" xfId="0" applyFont="1" applyFill="1" applyBorder="1"/>
    <xf numFmtId="0" fontId="37" fillId="5" borderId="9" xfId="0" applyFont="1" applyFill="1" applyBorder="1"/>
    <xf numFmtId="0" fontId="39" fillId="7" borderId="35" xfId="0" applyFont="1" applyFill="1" applyBorder="1"/>
    <xf numFmtId="165" fontId="37" fillId="3" borderId="41" xfId="0" applyNumberFormat="1" applyFont="1" applyFill="1" applyBorder="1"/>
    <xf numFmtId="165" fontId="37" fillId="3" borderId="42" xfId="0" applyNumberFormat="1" applyFont="1" applyFill="1" applyBorder="1"/>
    <xf numFmtId="165" fontId="37" fillId="3" borderId="48" xfId="0" applyNumberFormat="1" applyFont="1" applyFill="1" applyBorder="1"/>
    <xf numFmtId="0" fontId="37" fillId="3" borderId="35" xfId="0" applyFont="1" applyFill="1" applyBorder="1" applyAlignment="1">
      <alignment horizontal="right"/>
    </xf>
    <xf numFmtId="0" fontId="37" fillId="5" borderId="13" xfId="0" applyFont="1" applyFill="1" applyBorder="1"/>
    <xf numFmtId="0" fontId="37" fillId="5" borderId="14" xfId="0" applyFont="1" applyFill="1" applyBorder="1"/>
    <xf numFmtId="0" fontId="39" fillId="7" borderId="45" xfId="0" applyFont="1" applyFill="1" applyBorder="1" applyAlignment="1">
      <alignment horizontal="right"/>
    </xf>
    <xf numFmtId="0" fontId="39" fillId="7" borderId="21" xfId="0" applyFont="1" applyFill="1" applyBorder="1"/>
    <xf numFmtId="0" fontId="39" fillId="7" borderId="32" xfId="0" applyFont="1" applyFill="1" applyBorder="1"/>
    <xf numFmtId="0" fontId="39" fillId="7" borderId="31" xfId="0" applyFont="1" applyFill="1" applyBorder="1"/>
    <xf numFmtId="165" fontId="37" fillId="3" borderId="38" xfId="0" applyNumberFormat="1" applyFont="1" applyFill="1" applyBorder="1"/>
    <xf numFmtId="165" fontId="37" fillId="3" borderId="39" xfId="0" applyNumberFormat="1" applyFont="1" applyFill="1" applyBorder="1"/>
    <xf numFmtId="165" fontId="37" fillId="3" borderId="49" xfId="0" applyNumberFormat="1" applyFont="1" applyFill="1" applyBorder="1"/>
    <xf numFmtId="0" fontId="37" fillId="3" borderId="33" xfId="0" applyFont="1" applyFill="1" applyBorder="1" applyAlignment="1">
      <alignment horizontal="right"/>
    </xf>
    <xf numFmtId="165" fontId="37" fillId="3" borderId="46" xfId="0" applyNumberFormat="1" applyFont="1" applyFill="1" applyBorder="1"/>
    <xf numFmtId="165" fontId="37" fillId="3" borderId="44" xfId="0" applyNumberFormat="1" applyFont="1" applyFill="1" applyBorder="1"/>
    <xf numFmtId="0" fontId="39" fillId="7" borderId="13" xfId="0" applyFont="1" applyFill="1" applyBorder="1"/>
    <xf numFmtId="165" fontId="37" fillId="3" borderId="30" xfId="0" applyNumberFormat="1" applyFont="1" applyFill="1" applyBorder="1"/>
    <xf numFmtId="0" fontId="37" fillId="3" borderId="27" xfId="0" applyFont="1" applyFill="1" applyBorder="1" applyAlignment="1">
      <alignment horizontal="right"/>
    </xf>
    <xf numFmtId="0" fontId="39" fillId="6" borderId="19" xfId="0" applyFont="1" applyFill="1" applyBorder="1"/>
    <xf numFmtId="0" fontId="39" fillId="6" borderId="16" xfId="0" applyFont="1" applyFill="1" applyBorder="1"/>
    <xf numFmtId="0" fontId="37" fillId="6" borderId="10" xfId="0" applyFont="1" applyFill="1" applyBorder="1"/>
    <xf numFmtId="0" fontId="37" fillId="6" borderId="11" xfId="0" applyFont="1" applyFill="1" applyBorder="1"/>
    <xf numFmtId="0" fontId="39" fillId="6" borderId="54" xfId="0" applyFont="1" applyFill="1" applyBorder="1"/>
    <xf numFmtId="0" fontId="37" fillId="5" borderId="54" xfId="0" applyFont="1" applyFill="1" applyBorder="1"/>
    <xf numFmtId="0" fontId="37" fillId="5" borderId="33" xfId="0" applyFont="1" applyFill="1" applyBorder="1"/>
    <xf numFmtId="0" fontId="37" fillId="6" borderId="13" xfId="0" applyFont="1" applyFill="1" applyBorder="1"/>
    <xf numFmtId="0" fontId="37" fillId="6" borderId="14" xfId="0" applyFont="1" applyFill="1" applyBorder="1"/>
    <xf numFmtId="0" fontId="39" fillId="6" borderId="50" xfId="0" applyFont="1" applyFill="1" applyBorder="1"/>
    <xf numFmtId="0" fontId="37" fillId="5" borderId="50" xfId="0" applyFont="1" applyFill="1" applyBorder="1"/>
    <xf numFmtId="0" fontId="37" fillId="5" borderId="35" xfId="0" applyFont="1" applyFill="1" applyBorder="1"/>
    <xf numFmtId="0" fontId="37" fillId="2" borderId="25" xfId="0" applyFont="1" applyFill="1" applyBorder="1"/>
    <xf numFmtId="0" fontId="39" fillId="2" borderId="20" xfId="0" applyFont="1" applyFill="1" applyBorder="1"/>
    <xf numFmtId="0" fontId="39" fillId="7" borderId="17" xfId="0" applyFont="1" applyFill="1" applyBorder="1"/>
    <xf numFmtId="0" fontId="39" fillId="7" borderId="14" xfId="0" applyFont="1" applyFill="1" applyBorder="1"/>
    <xf numFmtId="0" fontId="39" fillId="7" borderId="19" xfId="0" applyFont="1" applyFill="1" applyBorder="1"/>
    <xf numFmtId="165" fontId="37" fillId="3" borderId="36" xfId="0" applyNumberFormat="1" applyFont="1" applyFill="1" applyBorder="1"/>
    <xf numFmtId="0" fontId="37" fillId="3" borderId="18" xfId="0" applyFont="1" applyFill="1" applyBorder="1" applyAlignment="1">
      <alignment horizontal="right"/>
    </xf>
    <xf numFmtId="0" fontId="39" fillId="7" borderId="51" xfId="0" applyFont="1" applyFill="1" applyBorder="1"/>
    <xf numFmtId="165" fontId="37" fillId="3" borderId="34" xfId="0" applyNumberFormat="1" applyFont="1" applyFill="1" applyBorder="1"/>
    <xf numFmtId="0" fontId="37" fillId="3" borderId="52" xfId="0" applyFont="1" applyFill="1" applyBorder="1" applyAlignment="1">
      <alignment horizontal="right"/>
    </xf>
    <xf numFmtId="0" fontId="39" fillId="7" borderId="50" xfId="0" applyFont="1" applyFill="1" applyBorder="1"/>
    <xf numFmtId="165" fontId="37" fillId="3" borderId="45" xfId="0" applyNumberFormat="1" applyFont="1" applyFill="1" applyBorder="1"/>
    <xf numFmtId="0" fontId="37" fillId="3" borderId="53" xfId="0" applyFont="1" applyFill="1" applyBorder="1" applyAlignment="1">
      <alignment horizontal="right"/>
    </xf>
    <xf numFmtId="165" fontId="39" fillId="6" borderId="54" xfId="0" applyNumberFormat="1" applyFont="1" applyFill="1" applyBorder="1"/>
    <xf numFmtId="0" fontId="37" fillId="5" borderId="33" xfId="0" applyFont="1" applyFill="1" applyBorder="1" applyAlignment="1">
      <alignment horizontal="right"/>
    </xf>
    <xf numFmtId="0" fontId="39" fillId="6" borderId="51" xfId="0" applyFont="1" applyFill="1" applyBorder="1"/>
    <xf numFmtId="0" fontId="37" fillId="5" borderId="34" xfId="0" applyFont="1" applyFill="1" applyBorder="1" applyAlignment="1">
      <alignment horizontal="right"/>
    </xf>
    <xf numFmtId="0" fontId="37" fillId="5" borderId="35" xfId="0" applyFont="1" applyFill="1" applyBorder="1" applyAlignment="1">
      <alignment horizontal="right"/>
    </xf>
    <xf numFmtId="0" fontId="39" fillId="2" borderId="53" xfId="0" applyFont="1" applyFill="1" applyBorder="1"/>
    <xf numFmtId="0" fontId="39" fillId="7" borderId="24" xfId="0" applyFont="1" applyFill="1" applyBorder="1" applyAlignment="1">
      <alignment vertical="center"/>
    </xf>
    <xf numFmtId="0" fontId="39" fillId="7" borderId="17" xfId="0" applyFont="1" applyFill="1" applyBorder="1" applyAlignment="1">
      <alignment horizontal="right" vertical="center" wrapText="1"/>
    </xf>
    <xf numFmtId="0" fontId="39" fillId="7" borderId="3" xfId="0" applyFont="1" applyFill="1" applyBorder="1" applyAlignment="1">
      <alignment horizontal="right" vertical="center" wrapText="1"/>
    </xf>
    <xf numFmtId="0" fontId="39" fillId="7" borderId="24" xfId="0" applyFont="1" applyFill="1" applyBorder="1" applyAlignment="1">
      <alignment horizontal="right" vertical="center" wrapText="1"/>
    </xf>
    <xf numFmtId="0" fontId="39" fillId="7" borderId="27" xfId="0" applyFont="1" applyFill="1" applyBorder="1" applyAlignment="1">
      <alignment horizontal="right" vertical="center" wrapText="1"/>
    </xf>
    <xf numFmtId="0" fontId="39" fillId="7" borderId="16" xfId="0" applyFont="1" applyFill="1" applyBorder="1"/>
    <xf numFmtId="0" fontId="37" fillId="3" borderId="10" xfId="0" applyFont="1" applyFill="1" applyBorder="1"/>
    <xf numFmtId="0" fontId="37" fillId="3" borderId="11" xfId="0" applyFont="1" applyFill="1" applyBorder="1"/>
    <xf numFmtId="2" fontId="37" fillId="2" borderId="16" xfId="0" applyNumberFormat="1" applyFont="1" applyFill="1" applyBorder="1"/>
    <xf numFmtId="2" fontId="37" fillId="3" borderId="16" xfId="0" applyNumberFormat="1" applyFont="1" applyFill="1" applyBorder="1"/>
    <xf numFmtId="0" fontId="37" fillId="3" borderId="9" xfId="0" applyFont="1" applyFill="1" applyBorder="1"/>
    <xf numFmtId="0" fontId="37" fillId="3" borderId="12" xfId="0" applyFont="1" applyFill="1" applyBorder="1"/>
    <xf numFmtId="0" fontId="37" fillId="3" borderId="13" xfId="0" applyFont="1" applyFill="1" applyBorder="1"/>
    <xf numFmtId="0" fontId="37" fillId="3" borderId="14" xfId="0" applyFont="1" applyFill="1" applyBorder="1"/>
    <xf numFmtId="2" fontId="37" fillId="3" borderId="17" xfId="0" applyNumberFormat="1" applyFont="1" applyFill="1" applyBorder="1"/>
    <xf numFmtId="0" fontId="39" fillId="6" borderId="9" xfId="0" applyFont="1" applyFill="1" applyBorder="1"/>
    <xf numFmtId="0" fontId="39" fillId="6" borderId="49" xfId="0" applyFont="1" applyFill="1" applyBorder="1"/>
    <xf numFmtId="2" fontId="37" fillId="5" borderId="38" xfId="0" applyNumberFormat="1" applyFont="1" applyFill="1" applyBorder="1" applyAlignment="1">
      <alignment horizontal="right"/>
    </xf>
    <xf numFmtId="2" fontId="37" fillId="5" borderId="40" xfId="0" applyNumberFormat="1" applyFont="1" applyFill="1" applyBorder="1" applyAlignment="1">
      <alignment horizontal="right"/>
    </xf>
    <xf numFmtId="0" fontId="39" fillId="6" borderId="8" xfId="0" applyFont="1" applyFill="1" applyBorder="1"/>
    <xf numFmtId="2" fontId="37" fillId="5" borderId="46" xfId="0" applyNumberFormat="1" applyFont="1" applyFill="1" applyBorder="1"/>
    <xf numFmtId="2" fontId="37" fillId="5" borderId="29" xfId="0" applyNumberFormat="1" applyFont="1" applyFill="1" applyBorder="1"/>
    <xf numFmtId="0" fontId="37" fillId="5" borderId="46" xfId="0" applyFont="1" applyFill="1" applyBorder="1"/>
    <xf numFmtId="0" fontId="37" fillId="5" borderId="29" xfId="0" applyFont="1" applyFill="1" applyBorder="1"/>
    <xf numFmtId="0" fontId="39" fillId="6" borderId="13" xfId="0" applyFont="1" applyFill="1" applyBorder="1"/>
    <xf numFmtId="0" fontId="39" fillId="6" borderId="48" xfId="0" applyFont="1" applyFill="1" applyBorder="1"/>
    <xf numFmtId="0" fontId="37" fillId="5" borderId="44" xfId="0" applyFont="1" applyFill="1" applyBorder="1" applyAlignment="1">
      <alignment horizontal="right"/>
    </xf>
    <xf numFmtId="0" fontId="37" fillId="5" borderId="43" xfId="0" applyFont="1" applyFill="1" applyBorder="1" applyAlignment="1">
      <alignment horizontal="right"/>
    </xf>
    <xf numFmtId="0" fontId="39" fillId="6" borderId="10" xfId="0" applyFont="1" applyFill="1" applyBorder="1"/>
    <xf numFmtId="0" fontId="37" fillId="5" borderId="46" xfId="0" applyFont="1" applyFill="1" applyBorder="1" applyAlignment="1">
      <alignment horizontal="center"/>
    </xf>
    <xf numFmtId="0" fontId="37" fillId="5" borderId="29" xfId="0" applyFont="1" applyFill="1" applyBorder="1" applyAlignment="1">
      <alignment horizontal="center"/>
    </xf>
    <xf numFmtId="0" fontId="37" fillId="5" borderId="44" xfId="0" applyFont="1" applyFill="1" applyBorder="1" applyAlignment="1">
      <alignment horizontal="center"/>
    </xf>
    <xf numFmtId="0" fontId="37" fillId="5" borderId="43" xfId="0" applyFont="1" applyFill="1" applyBorder="1" applyAlignment="1">
      <alignment horizontal="center"/>
    </xf>
    <xf numFmtId="0" fontId="37" fillId="6" borderId="26" xfId="0" applyFont="1" applyFill="1" applyBorder="1"/>
    <xf numFmtId="0" fontId="39" fillId="6" borderId="59" xfId="0" applyFont="1" applyFill="1" applyBorder="1" applyAlignment="1">
      <alignment horizontal="center"/>
    </xf>
    <xf numFmtId="0" fontId="39" fillId="6" borderId="60" xfId="0" applyFont="1" applyFill="1" applyBorder="1" applyAlignment="1">
      <alignment horizontal="center"/>
    </xf>
    <xf numFmtId="0" fontId="39" fillId="6" borderId="61" xfId="0" applyFont="1" applyFill="1" applyBorder="1" applyAlignment="1">
      <alignment horizontal="center"/>
    </xf>
    <xf numFmtId="0" fontId="37" fillId="5" borderId="58" xfId="0" applyFont="1" applyFill="1" applyBorder="1" applyAlignment="1">
      <alignment horizontal="center"/>
    </xf>
    <xf numFmtId="0" fontId="37" fillId="5" borderId="37" xfId="0" applyFont="1" applyFill="1" applyBorder="1" applyAlignment="1">
      <alignment horizontal="center"/>
    </xf>
    <xf numFmtId="0" fontId="37" fillId="5" borderId="57" xfId="0" applyFont="1" applyFill="1" applyBorder="1" applyAlignment="1">
      <alignment horizontal="center"/>
    </xf>
    <xf numFmtId="0" fontId="37" fillId="5" borderId="7" xfId="0" applyFont="1" applyFill="1" applyBorder="1" applyAlignment="1">
      <alignment horizontal="center"/>
    </xf>
    <xf numFmtId="0" fontId="37" fillId="5" borderId="42" xfId="0" applyFont="1" applyFill="1" applyBorder="1" applyAlignment="1">
      <alignment horizontal="center"/>
    </xf>
    <xf numFmtId="0" fontId="37" fillId="2" borderId="13" xfId="0" applyFont="1" applyFill="1" applyBorder="1"/>
    <xf numFmtId="0" fontId="37" fillId="2" borderId="3" xfId="0" applyFont="1" applyFill="1" applyBorder="1"/>
    <xf numFmtId="0" fontId="37" fillId="2" borderId="14" xfId="0" applyFont="1" applyFill="1" applyBorder="1"/>
    <xf numFmtId="0" fontId="37" fillId="0" borderId="0" xfId="0" applyFont="1"/>
    <xf numFmtId="0" fontId="31" fillId="3" borderId="31" xfId="0" applyFont="1" applyFill="1" applyBorder="1"/>
    <xf numFmtId="0" fontId="31" fillId="3" borderId="20" xfId="0" applyFont="1" applyFill="1" applyBorder="1"/>
    <xf numFmtId="0" fontId="31" fillId="3" borderId="21" xfId="0" applyFont="1" applyFill="1" applyBorder="1"/>
    <xf numFmtId="0" fontId="31" fillId="3" borderId="22" xfId="0" applyFont="1" applyFill="1" applyBorder="1"/>
    <xf numFmtId="0" fontId="31" fillId="3" borderId="2" xfId="0" applyFont="1" applyFill="1" applyBorder="1"/>
    <xf numFmtId="0" fontId="31" fillId="0" borderId="0" xfId="0" applyFont="1"/>
    <xf numFmtId="0" fontId="3" fillId="0" borderId="0" xfId="28"/>
    <xf numFmtId="0" fontId="3" fillId="0" borderId="22" xfId="28" applyBorder="1"/>
    <xf numFmtId="0" fontId="37" fillId="5" borderId="38" xfId="0" applyFont="1" applyFill="1" applyBorder="1" applyAlignment="1">
      <alignment horizontal="center"/>
    </xf>
    <xf numFmtId="0" fontId="37" fillId="5" borderId="40" xfId="0" applyFont="1" applyFill="1" applyBorder="1" applyAlignment="1">
      <alignment horizontal="center"/>
    </xf>
    <xf numFmtId="165" fontId="0" fillId="5" borderId="7" xfId="0" applyNumberFormat="1" applyFill="1" applyBorder="1"/>
    <xf numFmtId="0" fontId="0" fillId="2" borderId="65" xfId="0" applyFill="1" applyBorder="1"/>
    <xf numFmtId="0" fontId="39" fillId="6" borderId="25" xfId="0" applyFont="1" applyFill="1" applyBorder="1"/>
    <xf numFmtId="0" fontId="37" fillId="5" borderId="32" xfId="0" applyFont="1" applyFill="1" applyBorder="1" applyAlignment="1">
      <alignment horizontal="center"/>
    </xf>
    <xf numFmtId="0" fontId="37" fillId="5" borderId="39" xfId="0" applyFont="1" applyFill="1" applyBorder="1" applyAlignment="1">
      <alignment horizontal="center"/>
    </xf>
    <xf numFmtId="1" fontId="0" fillId="5" borderId="9" xfId="0" applyNumberFormat="1" applyFill="1" applyBorder="1"/>
    <xf numFmtId="2" fontId="37" fillId="5" borderId="29" xfId="0" applyNumberFormat="1" applyFont="1" applyFill="1" applyBorder="1" applyAlignment="1">
      <alignment horizontal="center"/>
    </xf>
    <xf numFmtId="2" fontId="37" fillId="5" borderId="64" xfId="0" applyNumberFormat="1" applyFont="1" applyFill="1" applyBorder="1" applyAlignment="1">
      <alignment horizontal="center"/>
    </xf>
    <xf numFmtId="0" fontId="39" fillId="2" borderId="25" xfId="0" applyFont="1" applyFill="1" applyBorder="1"/>
    <xf numFmtId="0" fontId="39" fillId="6" borderId="23" xfId="0" applyFont="1" applyFill="1" applyBorder="1"/>
    <xf numFmtId="2" fontId="37" fillId="2" borderId="15" xfId="0" applyNumberFormat="1" applyFont="1" applyFill="1" applyBorder="1"/>
    <xf numFmtId="2" fontId="37" fillId="2" borderId="11" xfId="0" applyNumberFormat="1" applyFont="1" applyFill="1" applyBorder="1"/>
    <xf numFmtId="2" fontId="37" fillId="2" borderId="12" xfId="0" applyNumberFormat="1" applyFont="1" applyFill="1" applyBorder="1"/>
    <xf numFmtId="2" fontId="37" fillId="2" borderId="17" xfId="0" applyNumberFormat="1" applyFont="1" applyFill="1" applyBorder="1"/>
    <xf numFmtId="2" fontId="37" fillId="2" borderId="14" xfId="0" applyNumberFormat="1" applyFont="1" applyFill="1" applyBorder="1"/>
    <xf numFmtId="0" fontId="0" fillId="2" borderId="32" xfId="0" applyFill="1" applyBorder="1"/>
    <xf numFmtId="2" fontId="37" fillId="3" borderId="15" xfId="0" applyNumberFormat="1" applyFont="1" applyFill="1" applyBorder="1"/>
    <xf numFmtId="0" fontId="3" fillId="6" borderId="8" xfId="28" applyFill="1" applyBorder="1" applyAlignment="1">
      <alignment horizontal="center"/>
    </xf>
    <xf numFmtId="0" fontId="3" fillId="6" borderId="7" xfId="28" applyFill="1" applyBorder="1" applyAlignment="1">
      <alignment horizontal="center"/>
    </xf>
    <xf numFmtId="0" fontId="3" fillId="2" borderId="22" xfId="28" applyFill="1" applyBorder="1"/>
    <xf numFmtId="0" fontId="3" fillId="2" borderId="0" xfId="28" applyFill="1"/>
    <xf numFmtId="0" fontId="3" fillId="5" borderId="22" xfId="28" applyFill="1" applyBorder="1"/>
    <xf numFmtId="1" fontId="3" fillId="5" borderId="22" xfId="28" applyNumberFormat="1" applyFill="1" applyBorder="1"/>
    <xf numFmtId="0" fontId="3" fillId="5" borderId="65" xfId="28" applyFill="1" applyBorder="1"/>
    <xf numFmtId="0" fontId="3" fillId="5" borderId="2" xfId="28" applyFill="1" applyBorder="1"/>
    <xf numFmtId="0" fontId="3" fillId="5" borderId="23" xfId="28" applyFill="1" applyBorder="1"/>
    <xf numFmtId="0" fontId="3" fillId="5" borderId="31" xfId="28" applyFill="1" applyBorder="1"/>
    <xf numFmtId="0" fontId="32" fillId="5" borderId="7" xfId="28" applyFont="1" applyFill="1" applyBorder="1"/>
    <xf numFmtId="0" fontId="32" fillId="5" borderId="7" xfId="28" applyFont="1" applyFill="1" applyBorder="1" applyAlignment="1">
      <alignment horizontal="left"/>
    </xf>
    <xf numFmtId="0" fontId="3" fillId="2" borderId="6" xfId="28" applyFill="1" applyBorder="1"/>
    <xf numFmtId="0" fontId="3" fillId="2" borderId="11" xfId="28" applyFill="1" applyBorder="1"/>
    <xf numFmtId="0" fontId="3" fillId="6" borderId="51" xfId="28" applyFill="1" applyBorder="1" applyAlignment="1">
      <alignment horizontal="center"/>
    </xf>
    <xf numFmtId="0" fontId="3" fillId="2" borderId="12" xfId="28" applyFill="1" applyBorder="1"/>
    <xf numFmtId="0" fontId="3" fillId="6" borderId="9" xfId="28" applyFill="1" applyBorder="1"/>
    <xf numFmtId="0" fontId="32" fillId="6" borderId="25" xfId="28" applyFont="1" applyFill="1" applyBorder="1" applyAlignment="1">
      <alignment horizontal="left"/>
    </xf>
    <xf numFmtId="0" fontId="3" fillId="2" borderId="9" xfId="28" applyFill="1" applyBorder="1"/>
    <xf numFmtId="0" fontId="3" fillId="2" borderId="13" xfId="28" applyFill="1" applyBorder="1"/>
    <xf numFmtId="0" fontId="3" fillId="2" borderId="73" xfId="28" applyFill="1" applyBorder="1"/>
    <xf numFmtId="0" fontId="3" fillId="2" borderId="3" xfId="28" applyFill="1" applyBorder="1"/>
    <xf numFmtId="0" fontId="3" fillId="2" borderId="14" xfId="28" applyFill="1" applyBorder="1"/>
    <xf numFmtId="0" fontId="32" fillId="6" borderId="7" xfId="28" applyFont="1" applyFill="1" applyBorder="1"/>
    <xf numFmtId="0" fontId="3" fillId="5" borderId="7" xfId="28" applyFill="1" applyBorder="1"/>
    <xf numFmtId="0" fontId="37" fillId="6" borderId="55" xfId="0" applyFont="1" applyFill="1" applyBorder="1"/>
    <xf numFmtId="0" fontId="37" fillId="5" borderId="3" xfId="0" applyFont="1" applyFill="1" applyBorder="1"/>
    <xf numFmtId="0" fontId="0" fillId="6" borderId="55" xfId="0" applyFill="1" applyBorder="1"/>
    <xf numFmtId="2" fontId="0" fillId="5" borderId="3" xfId="0" applyNumberFormat="1" applyFill="1" applyBorder="1"/>
    <xf numFmtId="0" fontId="39" fillId="7" borderId="30" xfId="0" applyFont="1" applyFill="1" applyBorder="1" applyAlignment="1">
      <alignment horizontal="right" vertical="center" wrapText="1"/>
    </xf>
    <xf numFmtId="0" fontId="37" fillId="3" borderId="6" xfId="0" applyFont="1" applyFill="1" applyBorder="1"/>
    <xf numFmtId="0" fontId="37" fillId="3" borderId="3" xfId="0" applyFont="1" applyFill="1" applyBorder="1"/>
    <xf numFmtId="0" fontId="37" fillId="2" borderId="7" xfId="0" applyFont="1" applyFill="1" applyBorder="1" applyAlignment="1">
      <alignment horizontal="center"/>
    </xf>
    <xf numFmtId="0" fontId="37" fillId="2" borderId="37" xfId="0" applyFont="1" applyFill="1" applyBorder="1" applyAlignment="1">
      <alignment horizontal="center"/>
    </xf>
    <xf numFmtId="0" fontId="37" fillId="2" borderId="39" xfId="0" applyFont="1" applyFill="1" applyBorder="1"/>
    <xf numFmtId="0" fontId="37" fillId="2" borderId="44" xfId="0" applyFont="1" applyFill="1" applyBorder="1" applyAlignment="1">
      <alignment horizontal="center"/>
    </xf>
    <xf numFmtId="0" fontId="37" fillId="2" borderId="42" xfId="0" applyFont="1" applyFill="1" applyBorder="1" applyAlignment="1">
      <alignment horizontal="center"/>
    </xf>
    <xf numFmtId="0" fontId="37" fillId="2" borderId="43" xfId="0" applyFont="1" applyFill="1" applyBorder="1" applyAlignment="1">
      <alignment horizontal="center"/>
    </xf>
    <xf numFmtId="0" fontId="37" fillId="2" borderId="58" xfId="0" applyFont="1" applyFill="1" applyBorder="1" applyAlignment="1">
      <alignment horizontal="center"/>
    </xf>
    <xf numFmtId="0" fontId="37" fillId="2" borderId="57" xfId="0" applyFont="1" applyFill="1" applyBorder="1" applyAlignment="1">
      <alignment horizontal="center"/>
    </xf>
    <xf numFmtId="0" fontId="37" fillId="2" borderId="46" xfId="0" applyFont="1" applyFill="1" applyBorder="1" applyAlignment="1">
      <alignment horizontal="center"/>
    </xf>
    <xf numFmtId="0" fontId="37" fillId="2" borderId="29" xfId="0" applyFont="1" applyFill="1" applyBorder="1" applyAlignment="1">
      <alignment horizontal="center"/>
    </xf>
    <xf numFmtId="2" fontId="37" fillId="5" borderId="58" xfId="0" applyNumberFormat="1" applyFont="1" applyFill="1" applyBorder="1" applyAlignment="1">
      <alignment horizontal="right"/>
    </xf>
    <xf numFmtId="2" fontId="37" fillId="5" borderId="57" xfId="0" applyNumberFormat="1" applyFont="1" applyFill="1" applyBorder="1" applyAlignment="1">
      <alignment horizontal="right"/>
    </xf>
    <xf numFmtId="0" fontId="37" fillId="5" borderId="20" xfId="0" applyFont="1" applyFill="1" applyBorder="1"/>
    <xf numFmtId="2" fontId="39" fillId="2" borderId="0" xfId="21" applyNumberFormat="1" applyFont="1" applyFill="1"/>
    <xf numFmtId="0" fontId="39" fillId="2" borderId="0" xfId="21" applyFont="1" applyFill="1"/>
    <xf numFmtId="0" fontId="37" fillId="2" borderId="0" xfId="21" applyFont="1" applyFill="1"/>
    <xf numFmtId="0" fontId="39" fillId="6" borderId="0" xfId="21" applyFont="1" applyFill="1" applyAlignment="1">
      <alignment horizontal="right"/>
    </xf>
    <xf numFmtId="2" fontId="37" fillId="6" borderId="0" xfId="21" applyNumberFormat="1" applyFont="1" applyFill="1"/>
    <xf numFmtId="0" fontId="39" fillId="6" borderId="0" xfId="21" applyFont="1" applyFill="1"/>
    <xf numFmtId="0" fontId="37" fillId="6" borderId="0" xfId="21" applyFont="1" applyFill="1"/>
    <xf numFmtId="0" fontId="39" fillId="2" borderId="0" xfId="0" applyFont="1" applyFill="1"/>
    <xf numFmtId="165" fontId="37" fillId="2" borderId="0" xfId="0" applyNumberFormat="1" applyFont="1" applyFill="1"/>
    <xf numFmtId="0" fontId="37" fillId="2" borderId="0" xfId="0" applyFont="1" applyFill="1" applyAlignment="1">
      <alignment horizontal="right"/>
    </xf>
    <xf numFmtId="2" fontId="37" fillId="2" borderId="0" xfId="0" applyNumberFormat="1" applyFont="1" applyFill="1"/>
    <xf numFmtId="0" fontId="37" fillId="3" borderId="0" xfId="0" applyFont="1" applyFill="1"/>
    <xf numFmtId="1" fontId="0" fillId="5" borderId="0" xfId="0" applyNumberFormat="1" applyFill="1"/>
    <xf numFmtId="0" fontId="0" fillId="5" borderId="0" xfId="0" applyFill="1"/>
    <xf numFmtId="2" fontId="3" fillId="5" borderId="22" xfId="28" applyNumberFormat="1" applyFill="1" applyBorder="1"/>
    <xf numFmtId="0" fontId="32" fillId="6" borderId="9" xfId="28" applyFont="1" applyFill="1" applyBorder="1"/>
    <xf numFmtId="0" fontId="32" fillId="2" borderId="0" xfId="28" applyFont="1" applyFill="1"/>
    <xf numFmtId="0" fontId="32" fillId="2" borderId="12" xfId="28" applyFont="1" applyFill="1" applyBorder="1"/>
    <xf numFmtId="2" fontId="32" fillId="5" borderId="7" xfId="28" applyNumberFormat="1" applyFont="1" applyFill="1" applyBorder="1"/>
    <xf numFmtId="0" fontId="32" fillId="5" borderId="29" xfId="28" applyFont="1" applyFill="1" applyBorder="1"/>
    <xf numFmtId="2" fontId="32" fillId="6" borderId="7" xfId="28" applyNumberFormat="1" applyFont="1" applyFill="1" applyBorder="1"/>
    <xf numFmtId="0" fontId="32" fillId="6" borderId="29" xfId="28" applyFont="1" applyFill="1" applyBorder="1"/>
    <xf numFmtId="0" fontId="32" fillId="5" borderId="12" xfId="28" applyFont="1" applyFill="1" applyBorder="1"/>
    <xf numFmtId="0" fontId="32" fillId="5" borderId="65" xfId="28" applyFont="1" applyFill="1" applyBorder="1"/>
    <xf numFmtId="0" fontId="32" fillId="5" borderId="32" xfId="28" applyFont="1" applyFill="1" applyBorder="1"/>
    <xf numFmtId="0" fontId="32" fillId="5" borderId="37" xfId="28" applyFont="1" applyFill="1" applyBorder="1"/>
    <xf numFmtId="0" fontId="15" fillId="2" borderId="0" xfId="21" applyFill="1"/>
    <xf numFmtId="0" fontId="15" fillId="6" borderId="0" xfId="21" applyFill="1"/>
    <xf numFmtId="0" fontId="15" fillId="6" borderId="1" xfId="21" applyFill="1" applyBorder="1"/>
    <xf numFmtId="0" fontId="15" fillId="5" borderId="1" xfId="21" applyFill="1" applyBorder="1"/>
    <xf numFmtId="2" fontId="15" fillId="2" borderId="0" xfId="21" applyNumberFormat="1" applyFill="1"/>
    <xf numFmtId="2" fontId="15" fillId="6" borderId="0" xfId="21" applyNumberFormat="1" applyFill="1"/>
    <xf numFmtId="0" fontId="9" fillId="2" borderId="10" xfId="21" applyFont="1" applyFill="1" applyBorder="1"/>
    <xf numFmtId="0" fontId="9" fillId="2" borderId="6" xfId="21" applyFont="1" applyFill="1" applyBorder="1"/>
    <xf numFmtId="0" fontId="15" fillId="2" borderId="6" xfId="0" applyFont="1" applyFill="1" applyBorder="1"/>
    <xf numFmtId="0" fontId="15" fillId="2" borderId="11" xfId="0" applyFont="1" applyFill="1" applyBorder="1"/>
    <xf numFmtId="0" fontId="9" fillId="2" borderId="9" xfId="21" applyFont="1" applyFill="1" applyBorder="1"/>
    <xf numFmtId="49" fontId="9" fillId="2" borderId="0" xfId="21" applyNumberFormat="1" applyFont="1" applyFill="1"/>
    <xf numFmtId="0" fontId="9" fillId="2" borderId="0" xfId="21" applyFont="1" applyFill="1"/>
    <xf numFmtId="0" fontId="15" fillId="6" borderId="0" xfId="0" applyFont="1" applyFill="1"/>
    <xf numFmtId="1" fontId="15" fillId="5" borderId="0" xfId="0" applyNumberFormat="1" applyFont="1" applyFill="1"/>
    <xf numFmtId="0" fontId="15" fillId="5" borderId="0" xfId="0" applyFont="1" applyFill="1"/>
    <xf numFmtId="0" fontId="15" fillId="2" borderId="0" xfId="0" applyFont="1" applyFill="1"/>
    <xf numFmtId="0" fontId="15" fillId="5" borderId="12" xfId="0" applyFont="1" applyFill="1" applyBorder="1"/>
    <xf numFmtId="2" fontId="15" fillId="5" borderId="0" xfId="0" applyNumberFormat="1" applyFont="1" applyFill="1"/>
    <xf numFmtId="0" fontId="15" fillId="2" borderId="1" xfId="0" applyFont="1" applyFill="1" applyBorder="1"/>
    <xf numFmtId="0" fontId="15" fillId="2" borderId="18" xfId="0" applyFont="1" applyFill="1" applyBorder="1"/>
    <xf numFmtId="0" fontId="9" fillId="2" borderId="25" xfId="21" applyFont="1" applyFill="1" applyBorder="1"/>
    <xf numFmtId="49" fontId="9" fillId="2" borderId="20" xfId="21" applyNumberFormat="1" applyFont="1" applyFill="1" applyBorder="1"/>
    <xf numFmtId="0" fontId="9" fillId="2" borderId="20" xfId="21" applyFont="1" applyFill="1" applyBorder="1"/>
    <xf numFmtId="0" fontId="5" fillId="6" borderId="20" xfId="21" applyFont="1" applyFill="1" applyBorder="1" applyAlignment="1">
      <alignment horizontal="left" vertical="center"/>
    </xf>
    <xf numFmtId="0" fontId="15" fillId="6" borderId="20" xfId="0" applyFont="1" applyFill="1" applyBorder="1"/>
    <xf numFmtId="2" fontId="15" fillId="5" borderId="20" xfId="0" applyNumberFormat="1" applyFont="1" applyFill="1" applyBorder="1"/>
    <xf numFmtId="0" fontId="5" fillId="5" borderId="20" xfId="21" applyFont="1" applyFill="1" applyBorder="1" applyAlignment="1">
      <alignment vertical="center"/>
    </xf>
    <xf numFmtId="0" fontId="5" fillId="6" borderId="0" xfId="21" applyFont="1" applyFill="1" applyAlignment="1">
      <alignment horizontal="left" vertical="center"/>
    </xf>
    <xf numFmtId="0" fontId="5" fillId="5" borderId="0" xfId="21" applyFont="1" applyFill="1" applyAlignment="1">
      <alignment vertical="center"/>
    </xf>
    <xf numFmtId="0" fontId="5" fillId="5" borderId="0" xfId="13" applyFont="1" applyFill="1" applyAlignment="1">
      <alignment horizontal="left" vertical="center"/>
    </xf>
    <xf numFmtId="0" fontId="9" fillId="6" borderId="22" xfId="21" applyFont="1" applyFill="1" applyBorder="1" applyAlignment="1">
      <alignment horizontal="left" vertical="center"/>
    </xf>
    <xf numFmtId="0" fontId="16" fillId="6" borderId="0" xfId="0" applyFont="1" applyFill="1"/>
    <xf numFmtId="2" fontId="16" fillId="5" borderId="0" xfId="0" applyNumberFormat="1" applyFont="1" applyFill="1"/>
    <xf numFmtId="0" fontId="16" fillId="5" borderId="12" xfId="0" applyFont="1" applyFill="1" applyBorder="1"/>
    <xf numFmtId="0" fontId="15" fillId="2" borderId="20" xfId="0" applyFont="1" applyFill="1" applyBorder="1"/>
    <xf numFmtId="0" fontId="15" fillId="2" borderId="53" xfId="0" applyFont="1" applyFill="1" applyBorder="1"/>
    <xf numFmtId="0" fontId="15" fillId="2" borderId="12" xfId="0" applyFont="1" applyFill="1" applyBorder="1"/>
    <xf numFmtId="0" fontId="9" fillId="2" borderId="19" xfId="21" applyFont="1" applyFill="1" applyBorder="1"/>
    <xf numFmtId="0" fontId="9" fillId="2" borderId="1" xfId="21" applyFont="1" applyFill="1" applyBorder="1"/>
    <xf numFmtId="0" fontId="5" fillId="6" borderId="1" xfId="21" applyFont="1" applyFill="1" applyBorder="1" applyAlignment="1">
      <alignment horizontal="left" vertical="center"/>
    </xf>
    <xf numFmtId="0" fontId="15" fillId="6" borderId="1" xfId="0" applyFont="1" applyFill="1" applyBorder="1"/>
    <xf numFmtId="2" fontId="15" fillId="5" borderId="1" xfId="0" applyNumberFormat="1" applyFont="1" applyFill="1" applyBorder="1"/>
    <xf numFmtId="0" fontId="5" fillId="5" borderId="1" xfId="13" applyFont="1" applyFill="1" applyBorder="1" applyAlignment="1">
      <alignment horizontal="left" vertical="center"/>
    </xf>
    <xf numFmtId="0" fontId="15" fillId="2" borderId="9" xfId="0" applyFont="1" applyFill="1" applyBorder="1"/>
    <xf numFmtId="0" fontId="15" fillId="6" borderId="12" xfId="0" applyFont="1" applyFill="1" applyBorder="1"/>
    <xf numFmtId="0" fontId="15" fillId="2" borderId="19" xfId="0" applyFont="1" applyFill="1" applyBorder="1"/>
    <xf numFmtId="2" fontId="16" fillId="5" borderId="1" xfId="0" applyNumberFormat="1" applyFont="1" applyFill="1" applyBorder="1"/>
    <xf numFmtId="0" fontId="15" fillId="5" borderId="1" xfId="0" applyFont="1" applyFill="1" applyBorder="1"/>
    <xf numFmtId="0" fontId="15" fillId="5" borderId="18" xfId="0" applyFont="1" applyFill="1" applyBorder="1"/>
    <xf numFmtId="0" fontId="9" fillId="6" borderId="1" xfId="21" applyFont="1" applyFill="1" applyBorder="1"/>
    <xf numFmtId="16" fontId="9" fillId="2" borderId="0" xfId="21" quotePrefix="1" applyNumberFormat="1" applyFont="1" applyFill="1"/>
    <xf numFmtId="0" fontId="16" fillId="2" borderId="0" xfId="0" applyFont="1" applyFill="1"/>
    <xf numFmtId="0" fontId="16" fillId="7" borderId="33" xfId="0" applyFont="1" applyFill="1" applyBorder="1" applyAlignment="1">
      <alignment horizontal="center" wrapText="1"/>
    </xf>
    <xf numFmtId="0" fontId="16" fillId="7" borderId="35" xfId="0" applyFont="1" applyFill="1" applyBorder="1" applyAlignment="1">
      <alignment horizontal="center" wrapText="1"/>
    </xf>
    <xf numFmtId="0" fontId="16" fillId="7" borderId="41" xfId="0" applyFont="1" applyFill="1" applyBorder="1"/>
    <xf numFmtId="0" fontId="16" fillId="7" borderId="42" xfId="0" applyFont="1" applyFill="1" applyBorder="1"/>
    <xf numFmtId="0" fontId="16" fillId="7" borderId="43" xfId="0" applyFont="1" applyFill="1" applyBorder="1"/>
    <xf numFmtId="0" fontId="16" fillId="7" borderId="33" xfId="0" applyFont="1" applyFill="1" applyBorder="1" applyAlignment="1">
      <alignment horizontal="right"/>
    </xf>
    <xf numFmtId="0" fontId="16" fillId="7" borderId="33" xfId="0" applyFont="1" applyFill="1" applyBorder="1"/>
    <xf numFmtId="165" fontId="15" fillId="3" borderId="28" xfId="0" applyNumberFormat="1" applyFont="1" applyFill="1" applyBorder="1"/>
    <xf numFmtId="165" fontId="15" fillId="3" borderId="37" xfId="0" applyNumberFormat="1" applyFont="1" applyFill="1" applyBorder="1"/>
    <xf numFmtId="165" fontId="15" fillId="3" borderId="57" xfId="0" applyNumberFormat="1" applyFont="1" applyFill="1" applyBorder="1"/>
    <xf numFmtId="0" fontId="16" fillId="7" borderId="34" xfId="0" applyFont="1" applyFill="1" applyBorder="1"/>
    <xf numFmtId="165" fontId="15" fillId="3" borderId="5" xfId="0" applyNumberFormat="1" applyFont="1" applyFill="1" applyBorder="1"/>
    <xf numFmtId="165" fontId="15" fillId="3" borderId="7" xfId="0" applyNumberFormat="1" applyFont="1" applyFill="1" applyBorder="1"/>
    <xf numFmtId="165" fontId="15" fillId="3" borderId="29" xfId="0" applyNumberFormat="1" applyFont="1" applyFill="1" applyBorder="1"/>
    <xf numFmtId="0" fontId="15" fillId="6" borderId="54" xfId="0" applyFont="1" applyFill="1" applyBorder="1"/>
    <xf numFmtId="0" fontId="15" fillId="6" borderId="56" xfId="0" applyFont="1" applyFill="1" applyBorder="1"/>
    <xf numFmtId="2" fontId="15" fillId="5" borderId="9" xfId="0" applyNumberFormat="1" applyFont="1" applyFill="1" applyBorder="1"/>
    <xf numFmtId="0" fontId="15" fillId="5" borderId="9" xfId="0" applyFont="1" applyFill="1" applyBorder="1"/>
    <xf numFmtId="0" fontId="16" fillId="7" borderId="35" xfId="0" applyFont="1" applyFill="1" applyBorder="1"/>
    <xf numFmtId="165" fontId="15" fillId="3" borderId="41" xfId="0" applyNumberFormat="1" applyFont="1" applyFill="1" applyBorder="1"/>
    <xf numFmtId="165" fontId="15" fillId="3" borderId="42" xfId="0" applyNumberFormat="1" applyFont="1" applyFill="1" applyBorder="1"/>
    <xf numFmtId="165" fontId="15" fillId="3" borderId="43" xfId="0" applyNumberFormat="1" applyFont="1" applyFill="1" applyBorder="1"/>
    <xf numFmtId="2" fontId="15" fillId="5" borderId="13" xfId="0" applyNumberFormat="1" applyFont="1" applyFill="1" applyBorder="1"/>
    <xf numFmtId="0" fontId="15" fillId="5" borderId="14" xfId="0" applyFont="1" applyFill="1" applyBorder="1"/>
    <xf numFmtId="0" fontId="16" fillId="2" borderId="0" xfId="0" applyFont="1" applyFill="1" applyAlignment="1">
      <alignment horizontal="center"/>
    </xf>
    <xf numFmtId="0" fontId="16" fillId="7" borderId="45" xfId="0" applyFont="1" applyFill="1" applyBorder="1" applyAlignment="1">
      <alignment horizontal="right"/>
    </xf>
    <xf numFmtId="0" fontId="16" fillId="7" borderId="21" xfId="0" applyFont="1" applyFill="1" applyBorder="1"/>
    <xf numFmtId="0" fontId="16" fillId="7" borderId="64" xfId="0" applyFont="1" applyFill="1" applyBorder="1"/>
    <xf numFmtId="0" fontId="16" fillId="2" borderId="0" xfId="0" applyFont="1" applyFill="1" applyAlignment="1">
      <alignment horizontal="right"/>
    </xf>
    <xf numFmtId="165" fontId="15" fillId="3" borderId="47" xfId="0" applyNumberFormat="1" applyFont="1" applyFill="1" applyBorder="1"/>
    <xf numFmtId="165" fontId="15" fillId="3" borderId="56" xfId="0" applyNumberFormat="1" applyFont="1" applyFill="1" applyBorder="1"/>
    <xf numFmtId="165" fontId="15" fillId="2" borderId="0" xfId="0" applyNumberFormat="1" applyFont="1" applyFill="1"/>
    <xf numFmtId="0" fontId="15" fillId="2" borderId="0" xfId="0" applyFont="1" applyFill="1" applyAlignment="1">
      <alignment horizontal="right"/>
    </xf>
    <xf numFmtId="165" fontId="15" fillId="3" borderId="52" xfId="0" applyNumberFormat="1" applyFont="1" applyFill="1" applyBorder="1"/>
    <xf numFmtId="0" fontId="16" fillId="7" borderId="45" xfId="0" applyFont="1" applyFill="1" applyBorder="1"/>
    <xf numFmtId="165" fontId="15" fillId="3" borderId="21" xfId="0" applyNumberFormat="1" applyFont="1" applyFill="1" applyBorder="1"/>
    <xf numFmtId="165" fontId="15" fillId="3" borderId="53" xfId="0" applyNumberFormat="1" applyFont="1" applyFill="1" applyBorder="1"/>
    <xf numFmtId="0" fontId="16" fillId="6" borderId="54" xfId="0" applyFont="1" applyFill="1" applyBorder="1"/>
    <xf numFmtId="0" fontId="16" fillId="6" borderId="15" xfId="0" applyFont="1" applyFill="1" applyBorder="1"/>
    <xf numFmtId="0" fontId="15" fillId="6" borderId="10" xfId="0" applyFont="1" applyFill="1" applyBorder="1"/>
    <xf numFmtId="0" fontId="15" fillId="6" borderId="11" xfId="0" applyFont="1" applyFill="1" applyBorder="1"/>
    <xf numFmtId="0" fontId="15" fillId="5" borderId="54" xfId="0" applyFont="1" applyFill="1" applyBorder="1"/>
    <xf numFmtId="0" fontId="15" fillId="6" borderId="13" xfId="0" applyFont="1" applyFill="1" applyBorder="1"/>
    <xf numFmtId="0" fontId="15" fillId="6" borderId="14" xfId="0" applyFont="1" applyFill="1" applyBorder="1"/>
    <xf numFmtId="0" fontId="16" fillId="6" borderId="50" xfId="0" applyFont="1" applyFill="1" applyBorder="1"/>
    <xf numFmtId="2" fontId="15" fillId="5" borderId="50" xfId="0" applyNumberFormat="1" applyFont="1" applyFill="1" applyBorder="1"/>
    <xf numFmtId="0" fontId="15" fillId="2" borderId="13" xfId="0" applyFont="1" applyFill="1" applyBorder="1"/>
    <xf numFmtId="0" fontId="15" fillId="2" borderId="3" xfId="0" applyFont="1" applyFill="1" applyBorder="1"/>
    <xf numFmtId="0" fontId="15" fillId="2" borderId="14" xfId="0" applyFont="1" applyFill="1" applyBorder="1"/>
    <xf numFmtId="0" fontId="15" fillId="0" borderId="0" xfId="0" applyFont="1"/>
    <xf numFmtId="0" fontId="16" fillId="6" borderId="0" xfId="21" quotePrefix="1" applyFont="1" applyFill="1" applyAlignment="1">
      <alignment horizontal="right"/>
    </xf>
    <xf numFmtId="2" fontId="15" fillId="5" borderId="12" xfId="0" applyNumberFormat="1" applyFont="1" applyFill="1" applyBorder="1" applyAlignment="1">
      <alignment vertical="center"/>
    </xf>
    <xf numFmtId="0" fontId="5" fillId="6" borderId="22" xfId="21" applyFont="1" applyFill="1" applyBorder="1" applyAlignment="1">
      <alignment vertical="center" wrapText="1"/>
    </xf>
    <xf numFmtId="0" fontId="5" fillId="6" borderId="0" xfId="21" applyFont="1" applyFill="1" applyAlignment="1">
      <alignment vertical="center" wrapText="1"/>
    </xf>
    <xf numFmtId="2" fontId="15" fillId="5" borderId="0" xfId="0" applyNumberFormat="1" applyFont="1" applyFill="1" applyAlignment="1">
      <alignment vertical="center"/>
    </xf>
    <xf numFmtId="0" fontId="4" fillId="8" borderId="24" xfId="0" applyFont="1" applyFill="1" applyBorder="1"/>
    <xf numFmtId="0" fontId="0" fillId="3" borderId="15" xfId="0" applyFill="1" applyBorder="1"/>
    <xf numFmtId="0" fontId="0" fillId="3" borderId="16" xfId="0" applyFill="1" applyBorder="1"/>
    <xf numFmtId="0" fontId="0" fillId="3" borderId="17" xfId="0" applyFill="1" applyBorder="1"/>
    <xf numFmtId="2" fontId="3" fillId="0" borderId="0" xfId="28" applyNumberFormat="1"/>
    <xf numFmtId="2" fontId="32" fillId="2" borderId="6" xfId="28" applyNumberFormat="1" applyFont="1" applyFill="1" applyBorder="1"/>
    <xf numFmtId="0" fontId="32" fillId="2" borderId="11" xfId="28" applyFont="1" applyFill="1" applyBorder="1"/>
    <xf numFmtId="0" fontId="32" fillId="6" borderId="46" xfId="28" applyFont="1" applyFill="1" applyBorder="1"/>
    <xf numFmtId="0" fontId="32" fillId="6" borderId="44" xfId="28" applyFont="1" applyFill="1" applyBorder="1"/>
    <xf numFmtId="0" fontId="3" fillId="5" borderId="42" xfId="28" applyFill="1" applyBorder="1"/>
    <xf numFmtId="0" fontId="32" fillId="6" borderId="25" xfId="28" applyFont="1" applyFill="1" applyBorder="1"/>
    <xf numFmtId="2" fontId="32" fillId="5" borderId="32" xfId="28" applyNumberFormat="1" applyFont="1" applyFill="1" applyBorder="1"/>
    <xf numFmtId="0" fontId="4" fillId="8" borderId="24" xfId="0" applyFont="1" applyFill="1" applyBorder="1" applyAlignment="1">
      <alignment wrapText="1"/>
    </xf>
    <xf numFmtId="0" fontId="0" fillId="3" borderId="15" xfId="0" applyFill="1" applyBorder="1" applyAlignment="1">
      <alignment wrapText="1"/>
    </xf>
    <xf numFmtId="0" fontId="0" fillId="3" borderId="16" xfId="0" applyFill="1" applyBorder="1" applyAlignment="1">
      <alignment wrapText="1"/>
    </xf>
    <xf numFmtId="0" fontId="0" fillId="3" borderId="17" xfId="0" applyFill="1" applyBorder="1" applyAlignment="1">
      <alignment wrapText="1"/>
    </xf>
    <xf numFmtId="0" fontId="5" fillId="4" borderId="74" xfId="19" applyFont="1" applyFill="1" applyBorder="1" applyAlignment="1" applyProtection="1">
      <alignment horizontal="left"/>
      <protection hidden="1"/>
    </xf>
    <xf numFmtId="0" fontId="5" fillId="4" borderId="74" xfId="21" applyFont="1" applyFill="1" applyBorder="1" applyAlignment="1">
      <alignment vertical="center"/>
    </xf>
    <xf numFmtId="0" fontId="5" fillId="4" borderId="74" xfId="24" applyFont="1" applyFill="1" applyBorder="1" applyAlignment="1" applyProtection="1">
      <alignment horizontal="center" vertical="center"/>
      <protection hidden="1"/>
    </xf>
    <xf numFmtId="0" fontId="20" fillId="4" borderId="74" xfId="24" applyFill="1" applyBorder="1" applyProtection="1">
      <protection hidden="1"/>
    </xf>
    <xf numFmtId="0" fontId="5" fillId="4" borderId="1" xfId="19" applyFont="1" applyFill="1" applyBorder="1" applyAlignment="1" applyProtection="1">
      <alignment horizontal="left" indent="1"/>
      <protection hidden="1"/>
    </xf>
    <xf numFmtId="0" fontId="5" fillId="4" borderId="1" xfId="19" applyFont="1" applyFill="1" applyBorder="1" applyProtection="1">
      <protection hidden="1"/>
    </xf>
    <xf numFmtId="0" fontId="20" fillId="4" borderId="1" xfId="24" applyFill="1" applyBorder="1" applyProtection="1">
      <protection hidden="1"/>
    </xf>
    <xf numFmtId="0" fontId="18" fillId="4" borderId="0" xfId="23" applyFill="1" applyBorder="1" applyAlignment="1" applyProtection="1">
      <alignment horizontal="left" vertical="center" wrapText="1"/>
      <protection hidden="1"/>
    </xf>
    <xf numFmtId="2" fontId="5" fillId="4" borderId="74" xfId="24" applyNumberFormat="1" applyFont="1" applyFill="1" applyBorder="1" applyAlignment="1" applyProtection="1">
      <alignment horizontal="right"/>
      <protection hidden="1"/>
    </xf>
    <xf numFmtId="168" fontId="5" fillId="4" borderId="74" xfId="24" applyNumberFormat="1" applyFont="1" applyFill="1" applyBorder="1" applyAlignment="1" applyProtection="1">
      <alignment horizontal="left"/>
      <protection hidden="1"/>
    </xf>
    <xf numFmtId="0" fontId="22" fillId="4" borderId="74" xfId="19" applyFont="1" applyFill="1" applyBorder="1" applyAlignment="1" applyProtection="1">
      <alignment horizontal="left"/>
      <protection hidden="1"/>
    </xf>
    <xf numFmtId="0" fontId="9" fillId="4" borderId="74" xfId="19" applyFont="1" applyFill="1" applyBorder="1" applyAlignment="1" applyProtection="1">
      <alignment horizontal="left"/>
      <protection hidden="1"/>
    </xf>
    <xf numFmtId="0" fontId="5" fillId="0" borderId="74" xfId="19" applyFont="1" applyBorder="1" applyProtection="1">
      <protection hidden="1"/>
    </xf>
    <xf numFmtId="0" fontId="5" fillId="4" borderId="74" xfId="21" applyFont="1" applyFill="1" applyBorder="1" applyAlignment="1">
      <alignment horizontal="right" vertical="center"/>
    </xf>
    <xf numFmtId="0" fontId="9" fillId="4" borderId="74" xfId="21" applyFont="1" applyFill="1" applyBorder="1" applyAlignment="1">
      <alignment vertical="center"/>
    </xf>
    <xf numFmtId="0" fontId="11" fillId="4" borderId="74" xfId="19" applyFont="1" applyFill="1" applyBorder="1" applyAlignment="1" applyProtection="1">
      <alignment horizontal="center" vertical="center"/>
      <protection hidden="1"/>
    </xf>
    <xf numFmtId="0" fontId="9" fillId="4" borderId="74" xfId="24" applyFont="1" applyFill="1" applyBorder="1" applyAlignment="1" applyProtection="1">
      <alignment horizontal="center" vertical="center"/>
      <protection hidden="1"/>
    </xf>
    <xf numFmtId="165" fontId="9" fillId="4" borderId="74" xfId="24" applyNumberFormat="1" applyFont="1" applyFill="1" applyBorder="1" applyAlignment="1" applyProtection="1">
      <alignment horizontal="right"/>
      <protection hidden="1"/>
    </xf>
    <xf numFmtId="168" fontId="9" fillId="4" borderId="74" xfId="24" applyNumberFormat="1" applyFont="1" applyFill="1" applyBorder="1" applyAlignment="1" applyProtection="1">
      <alignment horizontal="left"/>
      <protection hidden="1"/>
    </xf>
    <xf numFmtId="0" fontId="0" fillId="4" borderId="0" xfId="0" applyFill="1" applyAlignment="1">
      <alignment vertical="top"/>
    </xf>
    <xf numFmtId="0" fontId="0" fillId="4" borderId="0" xfId="0" applyFill="1" applyAlignment="1">
      <alignment vertical="top" wrapText="1"/>
    </xf>
    <xf numFmtId="0" fontId="0" fillId="4" borderId="22" xfId="0" applyFill="1" applyBorder="1"/>
    <xf numFmtId="0" fontId="0" fillId="4" borderId="23" xfId="0" applyFill="1" applyBorder="1"/>
    <xf numFmtId="0" fontId="0" fillId="4" borderId="0" xfId="0" applyFill="1" applyAlignment="1">
      <alignment horizontal="left" vertical="top"/>
    </xf>
    <xf numFmtId="0" fontId="47" fillId="0" borderId="0" xfId="0" applyFont="1" applyAlignment="1">
      <alignment horizontal="center" vertical="center" wrapText="1"/>
    </xf>
    <xf numFmtId="0" fontId="47" fillId="4" borderId="0" xfId="0" applyFont="1" applyFill="1" applyAlignment="1">
      <alignment horizontal="center" vertical="center" wrapText="1"/>
    </xf>
    <xf numFmtId="0" fontId="18" fillId="0" borderId="0" xfId="23"/>
    <xf numFmtId="0" fontId="0" fillId="4" borderId="2" xfId="0" applyFill="1" applyBorder="1"/>
    <xf numFmtId="0" fontId="46" fillId="4" borderId="22" xfId="0" applyFont="1" applyFill="1" applyBorder="1"/>
    <xf numFmtId="0" fontId="31" fillId="3" borderId="0" xfId="0" applyFont="1" applyFill="1"/>
    <xf numFmtId="0" fontId="9" fillId="3" borderId="0" xfId="19" applyFont="1" applyFill="1" applyAlignment="1" applyProtection="1">
      <alignment horizontal="left"/>
      <protection hidden="1"/>
    </xf>
    <xf numFmtId="0" fontId="14" fillId="3" borderId="0" xfId="21" applyFont="1" applyFill="1" applyAlignment="1">
      <alignment horizontal="center" vertical="center"/>
    </xf>
    <xf numFmtId="0" fontId="0" fillId="3" borderId="0" xfId="0" applyFill="1" applyAlignment="1">
      <alignment horizontal="right"/>
    </xf>
    <xf numFmtId="166" fontId="14" fillId="3" borderId="0" xfId="21" applyNumberFormat="1" applyFont="1" applyFill="1" applyAlignment="1">
      <alignment horizontal="center" vertical="center"/>
    </xf>
    <xf numFmtId="0" fontId="28" fillId="3" borderId="0" xfId="0" applyFont="1" applyFill="1" applyAlignment="1">
      <alignment vertical="distributed"/>
    </xf>
    <xf numFmtId="0" fontId="28" fillId="3" borderId="0" xfId="0" applyFont="1" applyFill="1" applyAlignment="1">
      <alignment vertical="center"/>
    </xf>
    <xf numFmtId="0" fontId="35" fillId="4" borderId="0" xfId="19" applyFont="1" applyFill="1" applyAlignment="1" applyProtection="1">
      <alignment vertical="center"/>
      <protection hidden="1"/>
    </xf>
    <xf numFmtId="0" fontId="5" fillId="4" borderId="0" xfId="24" applyFont="1" applyFill="1" applyAlignment="1" applyProtection="1">
      <alignment horizontal="right"/>
      <protection hidden="1"/>
    </xf>
    <xf numFmtId="0" fontId="20" fillId="4" borderId="31" xfId="24" applyFill="1" applyBorder="1" applyProtection="1">
      <protection hidden="1"/>
    </xf>
    <xf numFmtId="0" fontId="20" fillId="4" borderId="20" xfId="24" applyFill="1" applyBorder="1" applyProtection="1">
      <protection hidden="1"/>
    </xf>
    <xf numFmtId="0" fontId="20" fillId="4" borderId="21" xfId="24" applyFill="1" applyBorder="1" applyProtection="1">
      <protection hidden="1"/>
    </xf>
    <xf numFmtId="0" fontId="20" fillId="4" borderId="2" xfId="24" applyFill="1" applyBorder="1" applyProtection="1">
      <protection hidden="1"/>
    </xf>
    <xf numFmtId="0" fontId="8" fillId="4" borderId="22" xfId="19" applyFill="1" applyBorder="1" applyProtection="1">
      <protection hidden="1"/>
    </xf>
    <xf numFmtId="0" fontId="9" fillId="4" borderId="0" xfId="19" applyFont="1" applyFill="1" applyAlignment="1" applyProtection="1">
      <alignment horizontal="left"/>
      <protection hidden="1"/>
    </xf>
    <xf numFmtId="0" fontId="5" fillId="4" borderId="22" xfId="19" applyFont="1" applyFill="1" applyBorder="1" applyAlignment="1" applyProtection="1">
      <alignment horizontal="left" indent="1"/>
      <protection hidden="1"/>
    </xf>
    <xf numFmtId="0" fontId="5" fillId="4" borderId="0" xfId="19" applyFont="1" applyFill="1" applyAlignment="1" applyProtection="1">
      <alignment horizontal="left" indent="1"/>
      <protection hidden="1"/>
    </xf>
    <xf numFmtId="0" fontId="5" fillId="4" borderId="0" xfId="19" applyFont="1" applyFill="1" applyAlignment="1" applyProtection="1">
      <alignment horizontal="left"/>
      <protection hidden="1"/>
    </xf>
    <xf numFmtId="0" fontId="24" fillId="4" borderId="0" xfId="24" applyFont="1" applyFill="1" applyAlignment="1" applyProtection="1">
      <alignment horizontal="left"/>
      <protection hidden="1"/>
    </xf>
    <xf numFmtId="0" fontId="10" fillId="4" borderId="0" xfId="24" applyFont="1" applyFill="1" applyAlignment="1" applyProtection="1">
      <alignment horizontal="center" vertical="center"/>
      <protection hidden="1"/>
    </xf>
    <xf numFmtId="0" fontId="5" fillId="4" borderId="0" xfId="24" applyFont="1" applyFill="1" applyAlignment="1" applyProtection="1">
      <alignment vertical="center" wrapText="1"/>
      <protection hidden="1"/>
    </xf>
    <xf numFmtId="0" fontId="5" fillId="4" borderId="2" xfId="24" applyFont="1" applyFill="1" applyBorder="1" applyAlignment="1" applyProtection="1">
      <alignment vertical="center" wrapText="1"/>
      <protection hidden="1"/>
    </xf>
    <xf numFmtId="0" fontId="10" fillId="4" borderId="0" xfId="24" applyFont="1" applyFill="1" applyAlignment="1" applyProtection="1">
      <alignment vertical="center"/>
      <protection hidden="1"/>
    </xf>
    <xf numFmtId="0" fontId="10" fillId="4" borderId="0" xfId="24" applyFont="1" applyFill="1" applyAlignment="1" applyProtection="1">
      <alignment horizontal="left" vertical="center"/>
      <protection hidden="1"/>
    </xf>
    <xf numFmtId="0" fontId="5" fillId="4" borderId="0" xfId="24" applyFont="1" applyFill="1" applyAlignment="1" applyProtection="1">
      <alignment horizontal="left" vertical="center"/>
      <protection hidden="1"/>
    </xf>
    <xf numFmtId="0" fontId="20" fillId="4" borderId="0" xfId="24" applyFill="1" applyAlignment="1" applyProtection="1">
      <alignment horizontal="left" vertical="center"/>
      <protection hidden="1"/>
    </xf>
    <xf numFmtId="0" fontId="20" fillId="4" borderId="2" xfId="24" applyFill="1" applyBorder="1" applyAlignment="1" applyProtection="1">
      <alignment horizontal="left" vertical="center"/>
      <protection hidden="1"/>
    </xf>
    <xf numFmtId="0" fontId="5" fillId="4" borderId="0" xfId="24" applyFont="1" applyFill="1" applyAlignment="1" applyProtection="1">
      <alignment horizontal="left" vertical="center" wrapText="1"/>
      <protection hidden="1"/>
    </xf>
    <xf numFmtId="0" fontId="10" fillId="4" borderId="0" xfId="24" applyFont="1" applyFill="1" applyAlignment="1" applyProtection="1">
      <alignment vertical="center" wrapText="1"/>
      <protection hidden="1"/>
    </xf>
    <xf numFmtId="0" fontId="9" fillId="4" borderId="0" xfId="24" applyFont="1" applyFill="1" applyAlignment="1" applyProtection="1">
      <alignment horizontal="left" vertical="center" wrapText="1"/>
      <protection hidden="1"/>
    </xf>
    <xf numFmtId="0" fontId="10" fillId="4" borderId="2" xfId="24" applyFont="1" applyFill="1" applyBorder="1" applyAlignment="1" applyProtection="1">
      <alignment vertical="center" wrapText="1"/>
      <protection hidden="1"/>
    </xf>
    <xf numFmtId="0" fontId="5" fillId="4" borderId="2" xfId="24" applyFont="1" applyFill="1" applyBorder="1" applyAlignment="1" applyProtection="1">
      <alignment horizontal="left" vertical="center" wrapText="1"/>
      <protection hidden="1"/>
    </xf>
    <xf numFmtId="0" fontId="9" fillId="4" borderId="0" xfId="24" applyFont="1" applyFill="1" applyAlignment="1" applyProtection="1">
      <alignment horizontal="left"/>
      <protection hidden="1"/>
    </xf>
    <xf numFmtId="0" fontId="22" fillId="4" borderId="0" xfId="24" applyFont="1" applyFill="1" applyAlignment="1" applyProtection="1">
      <alignment horizontal="left"/>
      <protection hidden="1"/>
    </xf>
    <xf numFmtId="0" fontId="7" fillId="4" borderId="0" xfId="24" applyFont="1" applyFill="1" applyAlignment="1" applyProtection="1">
      <alignment horizontal="left" vertical="center" wrapText="1"/>
      <protection hidden="1"/>
    </xf>
    <xf numFmtId="0" fontId="7" fillId="4" borderId="0" xfId="24" applyFont="1" applyFill="1" applyAlignment="1" applyProtection="1">
      <alignment vertical="center" wrapText="1"/>
      <protection hidden="1"/>
    </xf>
    <xf numFmtId="0" fontId="7" fillId="4" borderId="0" xfId="24" applyFont="1" applyFill="1" applyAlignment="1" applyProtection="1">
      <alignment horizontal="left" vertical="center"/>
      <protection hidden="1"/>
    </xf>
    <xf numFmtId="0" fontId="5" fillId="4" borderId="0" xfId="24" applyFont="1" applyFill="1" applyAlignment="1" applyProtection="1">
      <alignment vertical="top" wrapText="1"/>
      <protection hidden="1"/>
    </xf>
    <xf numFmtId="0" fontId="5" fillId="4" borderId="2" xfId="24" applyFont="1" applyFill="1" applyBorder="1" applyAlignment="1" applyProtection="1">
      <alignment vertical="top" wrapText="1"/>
      <protection hidden="1"/>
    </xf>
    <xf numFmtId="0" fontId="25" fillId="4" borderId="22" xfId="19" applyFont="1" applyFill="1" applyBorder="1" applyAlignment="1" applyProtection="1">
      <alignment horizontal="center" vertical="center"/>
      <protection hidden="1"/>
    </xf>
    <xf numFmtId="0" fontId="25" fillId="4" borderId="0" xfId="19" applyFont="1" applyFill="1" applyAlignment="1" applyProtection="1">
      <alignment horizontal="center" vertical="center"/>
      <protection hidden="1"/>
    </xf>
    <xf numFmtId="0" fontId="25" fillId="4" borderId="2" xfId="19" applyFont="1" applyFill="1" applyBorder="1" applyAlignment="1" applyProtection="1">
      <alignment horizontal="center" vertical="center"/>
      <protection hidden="1"/>
    </xf>
    <xf numFmtId="0" fontId="22" fillId="4" borderId="0" xfId="21" applyFont="1" applyFill="1" applyAlignment="1">
      <alignment horizontal="right" vertical="center"/>
    </xf>
    <xf numFmtId="0" fontId="22" fillId="4" borderId="0" xfId="21" applyFont="1" applyFill="1" applyAlignment="1">
      <alignment vertical="center"/>
    </xf>
    <xf numFmtId="0" fontId="5" fillId="4" borderId="0" xfId="21" applyFont="1" applyFill="1" applyAlignment="1">
      <alignment vertical="center"/>
    </xf>
    <xf numFmtId="0" fontId="5" fillId="4" borderId="2" xfId="21" applyFont="1" applyFill="1" applyBorder="1" applyAlignment="1">
      <alignment vertical="center"/>
    </xf>
    <xf numFmtId="0" fontId="5" fillId="4" borderId="0" xfId="21" applyFont="1" applyFill="1" applyAlignment="1">
      <alignment horizontal="right" vertical="center"/>
    </xf>
    <xf numFmtId="0" fontId="25" fillId="4" borderId="77" xfId="19" applyFont="1" applyFill="1" applyBorder="1" applyAlignment="1" applyProtection="1">
      <alignment horizontal="center" vertical="center"/>
      <protection hidden="1"/>
    </xf>
    <xf numFmtId="0" fontId="5" fillId="4" borderId="78" xfId="21" applyFont="1" applyFill="1" applyBorder="1" applyAlignment="1">
      <alignment vertical="center"/>
    </xf>
    <xf numFmtId="0" fontId="5" fillId="4" borderId="0" xfId="21" applyFont="1" applyFill="1" applyAlignment="1">
      <alignment horizontal="center" vertical="center"/>
    </xf>
    <xf numFmtId="0" fontId="5" fillId="4" borderId="0" xfId="24" applyFont="1" applyFill="1" applyAlignment="1" applyProtection="1">
      <alignment horizontal="center" vertical="center"/>
      <protection hidden="1"/>
    </xf>
    <xf numFmtId="168" fontId="5" fillId="4" borderId="0" xfId="24" applyNumberFormat="1" applyFont="1" applyFill="1" applyAlignment="1" applyProtection="1">
      <alignment horizontal="right"/>
      <protection hidden="1"/>
    </xf>
    <xf numFmtId="165" fontId="5" fillId="4" borderId="0" xfId="24" applyNumberFormat="1" applyFont="1" applyFill="1" applyAlignment="1" applyProtection="1">
      <alignment horizontal="right"/>
      <protection hidden="1"/>
    </xf>
    <xf numFmtId="0" fontId="5" fillId="4" borderId="77" xfId="19" applyFont="1" applyFill="1" applyBorder="1" applyAlignment="1" applyProtection="1">
      <alignment horizontal="left" indent="1"/>
      <protection hidden="1"/>
    </xf>
    <xf numFmtId="0" fontId="20" fillId="4" borderId="78" xfId="24" applyFill="1" applyBorder="1" applyProtection="1">
      <protection hidden="1"/>
    </xf>
    <xf numFmtId="0" fontId="22" fillId="4" borderId="0" xfId="19" applyFont="1" applyFill="1" applyAlignment="1" applyProtection="1">
      <alignment horizontal="left"/>
      <protection hidden="1"/>
    </xf>
    <xf numFmtId="0" fontId="5" fillId="0" borderId="0" xfId="19" applyFont="1" applyProtection="1">
      <protection hidden="1"/>
    </xf>
    <xf numFmtId="2" fontId="5" fillId="4" borderId="0" xfId="24" applyNumberFormat="1" applyFont="1" applyFill="1" applyAlignment="1" applyProtection="1">
      <alignment horizontal="right"/>
      <protection hidden="1"/>
    </xf>
    <xf numFmtId="168" fontId="5" fillId="4" borderId="0" xfId="24" applyNumberFormat="1" applyFont="1" applyFill="1" applyAlignment="1" applyProtection="1">
      <alignment horizontal="left"/>
      <protection hidden="1"/>
    </xf>
    <xf numFmtId="0" fontId="5" fillId="4" borderId="22" xfId="19" applyFont="1" applyFill="1" applyBorder="1" applyAlignment="1" applyProtection="1">
      <alignment horizontal="left"/>
      <protection hidden="1"/>
    </xf>
    <xf numFmtId="0" fontId="5" fillId="4" borderId="22" xfId="24" applyFont="1" applyFill="1" applyBorder="1" applyProtection="1">
      <protection hidden="1"/>
    </xf>
    <xf numFmtId="0" fontId="5" fillId="4" borderId="77" xfId="24" applyFont="1" applyFill="1" applyBorder="1" applyProtection="1">
      <protection hidden="1"/>
    </xf>
    <xf numFmtId="1" fontId="5" fillId="4" borderId="0" xfId="24" applyNumberFormat="1" applyFont="1" applyFill="1" applyAlignment="1" applyProtection="1">
      <alignment horizontal="right"/>
      <protection hidden="1"/>
    </xf>
    <xf numFmtId="0" fontId="8" fillId="4" borderId="0" xfId="19" applyFill="1" applyProtection="1">
      <protection hidden="1"/>
    </xf>
    <xf numFmtId="0" fontId="5" fillId="4" borderId="23" xfId="19" applyFont="1" applyFill="1" applyBorder="1" applyAlignment="1" applyProtection="1">
      <alignment horizontal="left" indent="1"/>
      <protection hidden="1"/>
    </xf>
    <xf numFmtId="0" fontId="20" fillId="4" borderId="28" xfId="24" applyFill="1" applyBorder="1" applyProtection="1">
      <protection hidden="1"/>
    </xf>
    <xf numFmtId="0" fontId="35" fillId="4" borderId="0" xfId="19" applyFont="1" applyFill="1" applyAlignment="1" applyProtection="1">
      <alignment horizontal="left" vertical="center"/>
      <protection hidden="1"/>
    </xf>
    <xf numFmtId="0" fontId="25" fillId="4" borderId="21" xfId="19" applyFont="1" applyFill="1" applyBorder="1" applyAlignment="1" applyProtection="1">
      <alignment horizontal="center" vertical="center"/>
      <protection hidden="1"/>
    </xf>
    <xf numFmtId="49" fontId="22" fillId="4" borderId="0" xfId="21" applyNumberFormat="1" applyFont="1" applyFill="1" applyAlignment="1">
      <alignment horizontal="right" vertical="center"/>
    </xf>
    <xf numFmtId="0" fontId="22" fillId="4" borderId="0" xfId="19" applyFont="1" applyFill="1" applyAlignment="1" applyProtection="1">
      <alignment vertical="center"/>
      <protection hidden="1"/>
    </xf>
    <xf numFmtId="0" fontId="9" fillId="4" borderId="0" xfId="21" applyFont="1" applyFill="1" applyAlignment="1">
      <alignment vertical="center"/>
    </xf>
    <xf numFmtId="0" fontId="11" fillId="4" borderId="0" xfId="19" applyFont="1" applyFill="1" applyAlignment="1" applyProtection="1">
      <alignment horizontal="center" vertical="center"/>
      <protection hidden="1"/>
    </xf>
    <xf numFmtId="0" fontId="9" fillId="4" borderId="0" xfId="24" applyFont="1" applyFill="1" applyAlignment="1" applyProtection="1">
      <alignment horizontal="center" vertical="center"/>
      <protection hidden="1"/>
    </xf>
    <xf numFmtId="165" fontId="9" fillId="4" borderId="0" xfId="24" applyNumberFormat="1" applyFont="1" applyFill="1" applyAlignment="1" applyProtection="1">
      <alignment horizontal="right"/>
      <protection hidden="1"/>
    </xf>
    <xf numFmtId="168" fontId="9" fillId="4" borderId="0" xfId="24" applyNumberFormat="1" applyFont="1" applyFill="1" applyAlignment="1" applyProtection="1">
      <alignment horizontal="left"/>
      <protection hidden="1"/>
    </xf>
    <xf numFmtId="0" fontId="35" fillId="4" borderId="0" xfId="21" applyFont="1" applyFill="1" applyAlignment="1">
      <alignment vertical="center"/>
    </xf>
    <xf numFmtId="0" fontId="5" fillId="4" borderId="22" xfId="19" applyFont="1" applyFill="1" applyBorder="1" applyAlignment="1" applyProtection="1">
      <alignment vertical="center"/>
      <protection hidden="1"/>
    </xf>
    <xf numFmtId="0" fontId="22" fillId="4" borderId="0" xfId="19" applyFont="1" applyFill="1" applyAlignment="1" applyProtection="1">
      <alignment horizontal="left" vertical="center"/>
      <protection hidden="1"/>
    </xf>
    <xf numFmtId="0" fontId="22" fillId="4" borderId="0" xfId="19" applyFont="1" applyFill="1" applyAlignment="1" applyProtection="1">
      <alignment horizontal="center" vertical="center"/>
      <protection hidden="1"/>
    </xf>
    <xf numFmtId="0" fontId="5" fillId="4" borderId="0" xfId="19" applyFont="1" applyFill="1" applyAlignment="1" applyProtection="1">
      <alignment vertical="center"/>
      <protection hidden="1"/>
    </xf>
    <xf numFmtId="0" fontId="20" fillId="4" borderId="2" xfId="24" applyFill="1" applyBorder="1" applyAlignment="1" applyProtection="1">
      <alignment vertical="center"/>
      <protection hidden="1"/>
    </xf>
    <xf numFmtId="0" fontId="5" fillId="4" borderId="22" xfId="19" applyFont="1" applyFill="1" applyBorder="1" applyProtection="1">
      <protection hidden="1"/>
    </xf>
    <xf numFmtId="0" fontId="9" fillId="0" borderId="0" xfId="24" applyFont="1" applyAlignment="1" applyProtection="1">
      <alignment horizontal="left" vertical="center"/>
      <protection hidden="1"/>
    </xf>
    <xf numFmtId="0" fontId="5" fillId="0" borderId="0" xfId="24" applyFont="1" applyAlignment="1" applyProtection="1">
      <alignment vertical="center"/>
      <protection hidden="1"/>
    </xf>
    <xf numFmtId="0" fontId="9" fillId="4" borderId="0" xfId="24" applyFont="1" applyFill="1" applyAlignment="1" applyProtection="1">
      <alignment vertical="center"/>
      <protection hidden="1"/>
    </xf>
    <xf numFmtId="0" fontId="11" fillId="4" borderId="0" xfId="19" applyFont="1" applyFill="1" applyAlignment="1" applyProtection="1">
      <alignment horizontal="left" vertical="center"/>
      <protection hidden="1"/>
    </xf>
    <xf numFmtId="165" fontId="9" fillId="4" borderId="0" xfId="24" applyNumberFormat="1" applyFont="1" applyFill="1" applyAlignment="1" applyProtection="1">
      <alignment horizontal="right" vertical="center"/>
      <protection hidden="1"/>
    </xf>
    <xf numFmtId="165" fontId="9" fillId="0" borderId="0" xfId="24" applyNumberFormat="1" applyFont="1" applyAlignment="1" applyProtection="1">
      <alignment horizontal="right" vertical="center"/>
      <protection hidden="1"/>
    </xf>
    <xf numFmtId="0" fontId="5" fillId="4" borderId="0" xfId="19" applyFont="1" applyFill="1" applyAlignment="1" applyProtection="1">
      <alignment vertical="top"/>
      <protection hidden="1"/>
    </xf>
    <xf numFmtId="0" fontId="5" fillId="4" borderId="2" xfId="19" applyFont="1" applyFill="1" applyBorder="1" applyAlignment="1" applyProtection="1">
      <alignment vertical="top"/>
      <protection hidden="1"/>
    </xf>
    <xf numFmtId="0" fontId="35" fillId="4" borderId="22" xfId="19" applyFont="1" applyFill="1" applyBorder="1" applyAlignment="1" applyProtection="1">
      <alignment vertical="center"/>
      <protection hidden="1"/>
    </xf>
    <xf numFmtId="0" fontId="35" fillId="4" borderId="2" xfId="19" applyFont="1" applyFill="1" applyBorder="1" applyAlignment="1" applyProtection="1">
      <alignment vertical="center"/>
      <protection hidden="1"/>
    </xf>
    <xf numFmtId="0" fontId="35" fillId="4" borderId="22" xfId="19" applyFont="1" applyFill="1" applyBorder="1" applyAlignment="1" applyProtection="1">
      <alignment horizontal="center" vertical="center"/>
      <protection hidden="1"/>
    </xf>
    <xf numFmtId="0" fontId="35" fillId="4" borderId="0" xfId="19" applyFont="1" applyFill="1" applyAlignment="1" applyProtection="1">
      <alignment horizontal="center" vertical="center"/>
      <protection hidden="1"/>
    </xf>
    <xf numFmtId="0" fontId="35" fillId="4" borderId="2" xfId="19" applyFont="1" applyFill="1" applyBorder="1" applyAlignment="1" applyProtection="1">
      <alignment horizontal="center" vertical="center"/>
      <protection hidden="1"/>
    </xf>
    <xf numFmtId="0" fontId="5" fillId="0" borderId="0" xfId="24" applyFont="1" applyAlignment="1" applyProtection="1">
      <alignment horizontal="center" vertical="center"/>
      <protection hidden="1"/>
    </xf>
    <xf numFmtId="0" fontId="9" fillId="4" borderId="0" xfId="24" applyFont="1" applyFill="1" applyAlignment="1" applyProtection="1">
      <alignment horizontal="left" vertical="center"/>
      <protection hidden="1"/>
    </xf>
    <xf numFmtId="49" fontId="26" fillId="4" borderId="0" xfId="24" applyNumberFormat="1" applyFont="1" applyFill="1" applyAlignment="1" applyProtection="1">
      <alignment vertical="center"/>
      <protection hidden="1"/>
    </xf>
    <xf numFmtId="49" fontId="26" fillId="4" borderId="2" xfId="24" applyNumberFormat="1" applyFont="1" applyFill="1" applyBorder="1" applyAlignment="1" applyProtection="1">
      <alignment vertical="center"/>
      <protection hidden="1"/>
    </xf>
    <xf numFmtId="0" fontId="5" fillId="4" borderId="0" xfId="19" applyFont="1" applyFill="1" applyAlignment="1" applyProtection="1">
      <alignment horizontal="center"/>
      <protection hidden="1"/>
    </xf>
    <xf numFmtId="0" fontId="5" fillId="0" borderId="0" xfId="24" applyFont="1" applyAlignment="1" applyProtection="1">
      <alignment horizontal="right"/>
      <protection hidden="1"/>
    </xf>
    <xf numFmtId="0" fontId="9" fillId="4" borderId="0" xfId="24" applyFont="1" applyFill="1" applyProtection="1">
      <protection hidden="1"/>
    </xf>
    <xf numFmtId="0" fontId="5" fillId="4" borderId="23" xfId="19" applyFont="1" applyFill="1" applyBorder="1" applyProtection="1">
      <protection hidden="1"/>
    </xf>
    <xf numFmtId="0" fontId="5" fillId="4" borderId="1" xfId="19" applyFont="1" applyFill="1" applyBorder="1" applyAlignment="1" applyProtection="1">
      <alignment horizontal="right"/>
      <protection hidden="1"/>
    </xf>
    <xf numFmtId="0" fontId="5" fillId="4" borderId="1" xfId="24" applyFont="1" applyFill="1" applyBorder="1" applyAlignment="1" applyProtection="1">
      <alignment vertical="top" wrapText="1"/>
      <protection hidden="1"/>
    </xf>
    <xf numFmtId="0" fontId="0" fillId="3" borderId="0" xfId="0" applyFill="1" applyAlignment="1">
      <alignment vertical="top"/>
    </xf>
    <xf numFmtId="0" fontId="9" fillId="4" borderId="20" xfId="19" applyFont="1" applyFill="1" applyBorder="1" applyAlignment="1" applyProtection="1">
      <alignment horizontal="left"/>
      <protection hidden="1"/>
    </xf>
    <xf numFmtId="0" fontId="8" fillId="4" borderId="23" xfId="19" applyFill="1" applyBorder="1" applyProtection="1">
      <protection hidden="1"/>
    </xf>
    <xf numFmtId="0" fontId="9" fillId="4" borderId="1" xfId="19" applyFont="1" applyFill="1" applyBorder="1" applyAlignment="1" applyProtection="1">
      <alignment horizontal="left"/>
      <protection hidden="1"/>
    </xf>
    <xf numFmtId="0" fontId="20" fillId="4" borderId="0" xfId="24" applyFill="1" applyAlignment="1" applyProtection="1">
      <alignment horizontal="center"/>
      <protection hidden="1"/>
    </xf>
    <xf numFmtId="166" fontId="29" fillId="3" borderId="0" xfId="21" applyNumberFormat="1" applyFont="1" applyFill="1" applyAlignment="1">
      <alignment vertical="center"/>
    </xf>
    <xf numFmtId="0" fontId="5" fillId="3" borderId="20" xfId="19" applyFont="1" applyFill="1" applyBorder="1" applyProtection="1">
      <protection hidden="1"/>
    </xf>
    <xf numFmtId="166" fontId="14" fillId="3" borderId="20" xfId="21" applyNumberFormat="1" applyFont="1" applyFill="1" applyBorder="1" applyAlignment="1">
      <alignment horizontal="center" vertical="center"/>
    </xf>
    <xf numFmtId="0" fontId="0" fillId="4" borderId="28" xfId="0" applyFill="1" applyBorder="1"/>
    <xf numFmtId="0" fontId="0" fillId="2" borderId="28" xfId="0" applyFill="1" applyBorder="1"/>
    <xf numFmtId="170" fontId="5" fillId="4" borderId="0" xfId="19" applyNumberFormat="1" applyFont="1" applyFill="1" applyAlignment="1" applyProtection="1">
      <alignment horizontal="right"/>
      <protection hidden="1"/>
    </xf>
    <xf numFmtId="171" fontId="5" fillId="4" borderId="0" xfId="24" applyNumberFormat="1" applyFont="1" applyFill="1" applyAlignment="1" applyProtection="1">
      <alignment horizontal="right" vertical="center"/>
      <protection hidden="1"/>
    </xf>
    <xf numFmtId="165" fontId="5" fillId="4" borderId="0" xfId="24" applyNumberFormat="1" applyFont="1" applyFill="1" applyAlignment="1" applyProtection="1">
      <alignment horizontal="right" vertical="center"/>
      <protection hidden="1"/>
    </xf>
    <xf numFmtId="2" fontId="5" fillId="4" borderId="0" xfId="21" applyNumberFormat="1" applyFont="1" applyFill="1" applyAlignment="1">
      <alignment vertical="center"/>
    </xf>
    <xf numFmtId="0" fontId="5" fillId="4" borderId="74" xfId="24" applyFont="1" applyFill="1" applyBorder="1" applyAlignment="1" applyProtection="1">
      <alignment horizontal="left" vertical="center"/>
      <protection hidden="1"/>
    </xf>
    <xf numFmtId="171" fontId="5" fillId="4" borderId="74" xfId="24" applyNumberFormat="1" applyFont="1" applyFill="1" applyBorder="1" applyAlignment="1" applyProtection="1">
      <alignment horizontal="right" vertical="center"/>
      <protection hidden="1"/>
    </xf>
    <xf numFmtId="0" fontId="5" fillId="4" borderId="74" xfId="19" applyFont="1" applyFill="1" applyBorder="1" applyProtection="1">
      <protection hidden="1"/>
    </xf>
    <xf numFmtId="172" fontId="5" fillId="4" borderId="0" xfId="24" applyNumberFormat="1" applyFont="1" applyFill="1" applyAlignment="1" applyProtection="1">
      <alignment horizontal="right"/>
      <protection hidden="1"/>
    </xf>
    <xf numFmtId="170" fontId="5" fillId="4" borderId="74" xfId="19" applyNumberFormat="1" applyFont="1" applyFill="1" applyBorder="1" applyAlignment="1" applyProtection="1">
      <alignment horizontal="right"/>
      <protection hidden="1"/>
    </xf>
    <xf numFmtId="0" fontId="8" fillId="4" borderId="74" xfId="19" applyFill="1" applyBorder="1" applyProtection="1">
      <protection hidden="1"/>
    </xf>
    <xf numFmtId="0" fontId="22" fillId="4" borderId="20" xfId="19" applyFont="1" applyFill="1" applyBorder="1" applyAlignment="1" applyProtection="1">
      <alignment horizontal="left"/>
      <protection hidden="1"/>
    </xf>
    <xf numFmtId="0" fontId="5" fillId="0" borderId="20" xfId="19" applyFont="1" applyBorder="1" applyProtection="1">
      <protection hidden="1"/>
    </xf>
    <xf numFmtId="172" fontId="5" fillId="4" borderId="0" xfId="24" applyNumberFormat="1" applyFont="1" applyFill="1" applyAlignment="1" applyProtection="1">
      <alignment horizontal="right" vertical="center"/>
      <protection hidden="1"/>
    </xf>
    <xf numFmtId="0" fontId="5" fillId="4" borderId="74" xfId="21" applyFont="1" applyFill="1" applyBorder="1" applyAlignment="1">
      <alignment horizontal="center" vertical="center"/>
    </xf>
    <xf numFmtId="172" fontId="5" fillId="4" borderId="74" xfId="24" applyNumberFormat="1" applyFont="1" applyFill="1" applyBorder="1" applyAlignment="1" applyProtection="1">
      <alignment horizontal="right"/>
      <protection hidden="1"/>
    </xf>
    <xf numFmtId="0" fontId="5" fillId="4" borderId="20" xfId="19" applyFont="1" applyFill="1" applyBorder="1" applyProtection="1">
      <protection hidden="1"/>
    </xf>
    <xf numFmtId="0" fontId="5" fillId="4" borderId="31" xfId="19" applyFont="1" applyFill="1" applyBorder="1" applyProtection="1">
      <protection hidden="1"/>
    </xf>
    <xf numFmtId="0" fontId="9" fillId="0" borderId="0" xfId="24" applyFont="1" applyAlignment="1" applyProtection="1">
      <alignment vertical="center"/>
      <protection hidden="1"/>
    </xf>
    <xf numFmtId="2" fontId="9" fillId="4" borderId="0" xfId="24" applyNumberFormat="1" applyFont="1" applyFill="1" applyAlignment="1" applyProtection="1">
      <alignment vertical="center"/>
      <protection hidden="1"/>
    </xf>
    <xf numFmtId="2" fontId="9" fillId="4" borderId="0" xfId="24" applyNumberFormat="1" applyFont="1" applyFill="1" applyAlignment="1" applyProtection="1">
      <alignment horizontal="left" vertical="center"/>
      <protection hidden="1"/>
    </xf>
    <xf numFmtId="0" fontId="9" fillId="4" borderId="0" xfId="19" applyFont="1" applyFill="1" applyAlignment="1" applyProtection="1">
      <alignment vertical="center"/>
      <protection hidden="1"/>
    </xf>
    <xf numFmtId="0" fontId="5" fillId="4" borderId="31" xfId="19" applyFont="1" applyFill="1" applyBorder="1" applyAlignment="1" applyProtection="1">
      <alignment horizontal="left" indent="1"/>
      <protection hidden="1"/>
    </xf>
    <xf numFmtId="0" fontId="0" fillId="0" borderId="62" xfId="0" applyBorder="1"/>
    <xf numFmtId="0" fontId="4" fillId="9" borderId="26" xfId="0" applyFont="1" applyFill="1" applyBorder="1"/>
    <xf numFmtId="0" fontId="0" fillId="9" borderId="9" xfId="0" applyFill="1" applyBorder="1"/>
    <xf numFmtId="0" fontId="9" fillId="4" borderId="2" xfId="19" applyFont="1" applyFill="1" applyBorder="1" applyAlignment="1" applyProtection="1">
      <alignment horizontal="left"/>
      <protection hidden="1"/>
    </xf>
    <xf numFmtId="0" fontId="50" fillId="3" borderId="22" xfId="0" applyFont="1" applyFill="1" applyBorder="1"/>
    <xf numFmtId="0" fontId="51" fillId="3" borderId="0" xfId="19" applyFont="1" applyFill="1" applyAlignment="1" applyProtection="1">
      <alignment horizontal="left"/>
      <protection hidden="1"/>
    </xf>
    <xf numFmtId="0" fontId="50" fillId="3" borderId="0" xfId="0" applyFont="1" applyFill="1"/>
    <xf numFmtId="0" fontId="50" fillId="3" borderId="2" xfId="0" applyFont="1" applyFill="1" applyBorder="1"/>
    <xf numFmtId="0" fontId="50" fillId="4" borderId="0" xfId="19" applyFont="1" applyFill="1" applyAlignment="1" applyProtection="1">
      <alignment horizontal="left"/>
      <protection locked="0" hidden="1"/>
    </xf>
    <xf numFmtId="0" fontId="50" fillId="3" borderId="0" xfId="19" applyFont="1" applyFill="1" applyProtection="1">
      <protection locked="0" hidden="1"/>
    </xf>
    <xf numFmtId="0" fontId="50" fillId="3" borderId="2" xfId="21" applyFont="1" applyFill="1" applyBorder="1"/>
    <xf numFmtId="0" fontId="51" fillId="3" borderId="2" xfId="21" applyFont="1" applyFill="1" applyBorder="1" applyAlignment="1">
      <alignment horizontal="center" vertical="center"/>
    </xf>
    <xf numFmtId="0" fontId="50" fillId="3" borderId="0" xfId="19" applyFont="1" applyFill="1" applyProtection="1">
      <protection hidden="1"/>
    </xf>
    <xf numFmtId="0" fontId="50" fillId="3" borderId="8" xfId="0" applyFont="1" applyFill="1" applyBorder="1"/>
    <xf numFmtId="0" fontId="52" fillId="3" borderId="4" xfId="21" applyFont="1" applyFill="1" applyBorder="1" applyAlignment="1">
      <alignment horizontal="left" vertical="center"/>
    </xf>
    <xf numFmtId="0" fontId="51" fillId="3" borderId="4" xfId="21" applyFont="1" applyFill="1" applyBorder="1" applyAlignment="1">
      <alignment horizontal="left" vertical="center"/>
    </xf>
    <xf numFmtId="0" fontId="50" fillId="3" borderId="4" xfId="21" applyFont="1" applyFill="1" applyBorder="1" applyAlignment="1">
      <alignment vertical="center"/>
    </xf>
    <xf numFmtId="0" fontId="51" fillId="3" borderId="20" xfId="21" applyFont="1" applyFill="1" applyBorder="1" applyAlignment="1">
      <alignment horizontal="left" vertical="center"/>
    </xf>
    <xf numFmtId="0" fontId="50" fillId="3" borderId="4" xfId="21" applyFont="1" applyFill="1" applyBorder="1" applyAlignment="1">
      <alignment horizontal="right" vertical="center"/>
    </xf>
    <xf numFmtId="0" fontId="50" fillId="3" borderId="5" xfId="21" applyFont="1" applyFill="1" applyBorder="1" applyAlignment="1">
      <alignment vertical="center"/>
    </xf>
    <xf numFmtId="0" fontId="51" fillId="3" borderId="0" xfId="21" applyFont="1" applyFill="1" applyAlignment="1">
      <alignment horizontal="left" vertical="center"/>
    </xf>
    <xf numFmtId="0" fontId="50" fillId="3" borderId="0" xfId="21" applyFont="1" applyFill="1" applyAlignment="1">
      <alignment vertical="center"/>
    </xf>
    <xf numFmtId="2" fontId="51" fillId="3" borderId="0" xfId="19" applyNumberFormat="1" applyFont="1" applyFill="1" applyAlignment="1">
      <alignment horizontal="center"/>
    </xf>
    <xf numFmtId="2" fontId="51" fillId="3" borderId="20" xfId="19" applyNumberFormat="1" applyFont="1" applyFill="1" applyBorder="1" applyAlignment="1">
      <alignment horizontal="center"/>
    </xf>
    <xf numFmtId="0" fontId="50" fillId="3" borderId="21" xfId="21" applyFont="1" applyFill="1" applyBorder="1" applyAlignment="1">
      <alignment vertical="center"/>
    </xf>
    <xf numFmtId="0" fontId="50" fillId="3" borderId="22" xfId="0" applyFont="1" applyFill="1" applyBorder="1" applyAlignment="1">
      <alignment horizontal="right"/>
    </xf>
    <xf numFmtId="0" fontId="51" fillId="3" borderId="0" xfId="21" applyFont="1" applyFill="1"/>
    <xf numFmtId="0" fontId="50" fillId="3" borderId="0" xfId="21" applyFont="1" applyFill="1"/>
    <xf numFmtId="2" fontId="51" fillId="3" borderId="0" xfId="21" applyNumberFormat="1" applyFont="1" applyFill="1"/>
    <xf numFmtId="0" fontId="50" fillId="3" borderId="0" xfId="21" applyFont="1" applyFill="1" applyAlignment="1">
      <alignment horizontal="right"/>
    </xf>
    <xf numFmtId="49" fontId="51" fillId="3" borderId="0" xfId="21" applyNumberFormat="1" applyFont="1" applyFill="1" applyAlignment="1">
      <alignment horizontal="right" vertical="center"/>
    </xf>
    <xf numFmtId="0" fontId="51" fillId="3" borderId="0" xfId="21" applyFont="1" applyFill="1" applyAlignment="1">
      <alignment horizontal="center"/>
    </xf>
    <xf numFmtId="0" fontId="50" fillId="3" borderId="0" xfId="21" applyFont="1" applyFill="1" applyAlignment="1">
      <alignment horizontal="left" vertical="center"/>
    </xf>
    <xf numFmtId="0" fontId="50" fillId="3" borderId="0" xfId="13" applyFont="1" applyFill="1" applyAlignment="1">
      <alignment horizontal="left" vertical="center"/>
    </xf>
    <xf numFmtId="2" fontId="51" fillId="0" borderId="0" xfId="21" applyNumberFormat="1" applyFont="1" applyAlignment="1" applyProtection="1">
      <alignment horizontal="center" vertical="center"/>
      <protection locked="0"/>
    </xf>
    <xf numFmtId="0" fontId="50" fillId="3" borderId="0" xfId="13" applyFont="1" applyFill="1" applyAlignment="1">
      <alignment vertical="center"/>
    </xf>
    <xf numFmtId="1" fontId="55" fillId="3" borderId="0" xfId="21" applyNumberFormat="1" applyFont="1" applyFill="1" applyAlignment="1">
      <alignment horizontal="center" vertical="center"/>
    </xf>
    <xf numFmtId="0" fontId="50" fillId="3" borderId="0" xfId="21" applyFont="1" applyFill="1" applyAlignment="1">
      <alignment horizontal="center" vertical="center"/>
    </xf>
    <xf numFmtId="0" fontId="51" fillId="3" borderId="0" xfId="21" applyFont="1" applyFill="1" applyAlignment="1">
      <alignment horizontal="left" indent="1"/>
    </xf>
    <xf numFmtId="165" fontId="55" fillId="3" borderId="0" xfId="13" applyNumberFormat="1" applyFont="1" applyFill="1" applyAlignment="1">
      <alignment horizontal="center" vertical="center" wrapText="1"/>
    </xf>
    <xf numFmtId="165" fontId="55" fillId="3" borderId="0" xfId="27" applyNumberFormat="1" applyFont="1" applyFill="1" applyBorder="1" applyAlignment="1">
      <alignment horizontal="center"/>
    </xf>
    <xf numFmtId="0" fontId="50" fillId="3" borderId="0" xfId="13" applyFont="1" applyFill="1" applyAlignment="1">
      <alignment vertical="center" wrapText="1"/>
    </xf>
    <xf numFmtId="2" fontId="50" fillId="3" borderId="0" xfId="0" applyNumberFormat="1" applyFont="1" applyFill="1"/>
    <xf numFmtId="2" fontId="51" fillId="3" borderId="0" xfId="21" applyNumberFormat="1" applyFont="1" applyFill="1" applyAlignment="1">
      <alignment horizontal="center" vertical="center"/>
    </xf>
    <xf numFmtId="0" fontId="50" fillId="3" borderId="2" xfId="21" applyFont="1" applyFill="1" applyBorder="1" applyAlignment="1">
      <alignment vertical="center"/>
    </xf>
    <xf numFmtId="1" fontId="51" fillId="0" borderId="0" xfId="21" applyNumberFormat="1" applyFont="1" applyAlignment="1" applyProtection="1">
      <alignment horizontal="center" vertical="center"/>
      <protection locked="0"/>
    </xf>
    <xf numFmtId="0" fontId="50" fillId="3" borderId="68" xfId="13" applyFont="1" applyFill="1" applyBorder="1" applyAlignment="1">
      <alignment horizontal="left" vertical="center"/>
    </xf>
    <xf numFmtId="0" fontId="50" fillId="3" borderId="69" xfId="13" applyFont="1" applyFill="1" applyBorder="1" applyAlignment="1">
      <alignment horizontal="left" vertical="center"/>
    </xf>
    <xf numFmtId="0" fontId="51" fillId="3" borderId="69" xfId="21" applyFont="1" applyFill="1" applyBorder="1" applyAlignment="1">
      <alignment horizontal="center"/>
    </xf>
    <xf numFmtId="2" fontId="51" fillId="0" borderId="69" xfId="21" applyNumberFormat="1" applyFont="1" applyBorder="1" applyAlignment="1" applyProtection="1">
      <alignment horizontal="center" vertical="center"/>
      <protection locked="0"/>
    </xf>
    <xf numFmtId="0" fontId="50" fillId="3" borderId="72" xfId="21" applyFont="1" applyFill="1" applyBorder="1" applyAlignment="1">
      <alignment vertical="center"/>
    </xf>
    <xf numFmtId="165" fontId="51" fillId="0" borderId="0" xfId="21" applyNumberFormat="1" applyFont="1" applyAlignment="1" applyProtection="1">
      <alignment horizontal="center" vertical="center"/>
      <protection locked="0"/>
    </xf>
    <xf numFmtId="0" fontId="50" fillId="3" borderId="70" xfId="13" applyFont="1" applyFill="1" applyBorder="1" applyAlignment="1">
      <alignment horizontal="left" vertical="center"/>
    </xf>
    <xf numFmtId="0" fontId="50" fillId="3" borderId="2" xfId="13" applyFont="1" applyFill="1" applyBorder="1" applyAlignment="1">
      <alignment horizontal="left" vertical="center"/>
    </xf>
    <xf numFmtId="0" fontId="50" fillId="3" borderId="71" xfId="13" applyFont="1" applyFill="1" applyBorder="1" applyAlignment="1">
      <alignment horizontal="left" vertical="center"/>
    </xf>
    <xf numFmtId="0" fontId="50" fillId="3" borderId="66" xfId="21" applyFont="1" applyFill="1" applyBorder="1" applyAlignment="1">
      <alignment horizontal="left" vertical="center"/>
    </xf>
    <xf numFmtId="0" fontId="50" fillId="3" borderId="66" xfId="13" applyFont="1" applyFill="1" applyBorder="1" applyAlignment="1">
      <alignment vertical="center" wrapText="1"/>
    </xf>
    <xf numFmtId="0" fontId="50" fillId="3" borderId="66" xfId="21" applyFont="1" applyFill="1" applyBorder="1" applyAlignment="1">
      <alignment horizontal="center" vertical="center"/>
    </xf>
    <xf numFmtId="0" fontId="50" fillId="3" borderId="67" xfId="0" applyFont="1" applyFill="1" applyBorder="1"/>
    <xf numFmtId="0" fontId="50" fillId="3" borderId="66" xfId="13" applyFont="1" applyFill="1" applyBorder="1" applyAlignment="1">
      <alignment vertical="center"/>
    </xf>
    <xf numFmtId="0" fontId="50" fillId="3" borderId="67" xfId="21" applyFont="1" applyFill="1" applyBorder="1" applyAlignment="1">
      <alignment vertical="center"/>
    </xf>
    <xf numFmtId="165" fontId="51" fillId="0" borderId="0" xfId="27" applyNumberFormat="1" applyFont="1" applyBorder="1" applyAlignment="1" applyProtection="1">
      <alignment horizontal="center" vertical="center"/>
      <protection locked="0"/>
    </xf>
    <xf numFmtId="0" fontId="50" fillId="3" borderId="23" xfId="0" applyFont="1" applyFill="1" applyBorder="1"/>
    <xf numFmtId="0" fontId="50" fillId="3" borderId="1" xfId="0" applyFont="1" applyFill="1" applyBorder="1"/>
    <xf numFmtId="0" fontId="50" fillId="3" borderId="1" xfId="13" applyFont="1" applyFill="1" applyBorder="1" applyAlignment="1">
      <alignment horizontal="left" vertical="center"/>
    </xf>
    <xf numFmtId="0" fontId="51" fillId="3" borderId="1" xfId="21" applyFont="1" applyFill="1" applyBorder="1" applyAlignment="1">
      <alignment horizontal="left" indent="1"/>
    </xf>
    <xf numFmtId="0" fontId="50" fillId="3" borderId="1" xfId="13" applyFont="1" applyFill="1" applyBorder="1" applyAlignment="1">
      <alignment horizontal="right" vertical="center"/>
    </xf>
    <xf numFmtId="0" fontId="50" fillId="3" borderId="28" xfId="21" applyFont="1" applyFill="1" applyBorder="1" applyAlignment="1">
      <alignment vertical="center"/>
    </xf>
    <xf numFmtId="1" fontId="51" fillId="3" borderId="0" xfId="21" applyNumberFormat="1" applyFont="1" applyFill="1" applyAlignment="1" applyProtection="1">
      <alignment horizontal="center" vertical="center"/>
      <protection locked="0"/>
    </xf>
    <xf numFmtId="0" fontId="50" fillId="3" borderId="0" xfId="13" applyFont="1" applyFill="1" applyAlignment="1">
      <alignment horizontal="right" vertical="center"/>
    </xf>
    <xf numFmtId="0" fontId="51" fillId="3" borderId="0" xfId="21" applyFont="1" applyFill="1" applyAlignment="1">
      <alignment horizontal="right" vertical="center"/>
    </xf>
    <xf numFmtId="165" fontId="50" fillId="3" borderId="69" xfId="21" applyNumberFormat="1" applyFont="1" applyFill="1" applyBorder="1"/>
    <xf numFmtId="165" fontId="50" fillId="3" borderId="0" xfId="21" applyNumberFormat="1" applyFont="1" applyFill="1"/>
    <xf numFmtId="0" fontId="50" fillId="3" borderId="66" xfId="13" applyFont="1" applyFill="1" applyBorder="1" applyAlignment="1">
      <alignment horizontal="left" vertical="center"/>
    </xf>
    <xf numFmtId="165" fontId="50" fillId="3" borderId="66" xfId="21" applyNumberFormat="1" applyFont="1" applyFill="1" applyBorder="1"/>
    <xf numFmtId="0" fontId="51" fillId="3" borderId="0" xfId="13" applyFont="1" applyFill="1" applyAlignment="1">
      <alignment horizontal="left" vertical="center"/>
    </xf>
    <xf numFmtId="0" fontId="50" fillId="3" borderId="1" xfId="21" applyFont="1" applyFill="1" applyBorder="1"/>
    <xf numFmtId="0" fontId="50" fillId="3" borderId="1" xfId="21" applyFont="1" applyFill="1" applyBorder="1" applyAlignment="1">
      <alignment horizontal="left" vertical="center"/>
    </xf>
    <xf numFmtId="2" fontId="51" fillId="3" borderId="1" xfId="21" applyNumberFormat="1" applyFont="1" applyFill="1" applyBorder="1" applyAlignment="1">
      <alignment horizontal="center" vertical="center"/>
    </xf>
    <xf numFmtId="0" fontId="50" fillId="3" borderId="31" xfId="0" applyFont="1" applyFill="1" applyBorder="1"/>
    <xf numFmtId="0" fontId="50" fillId="3" borderId="20" xfId="21" applyFont="1" applyFill="1" applyBorder="1"/>
    <xf numFmtId="0" fontId="50" fillId="3" borderId="20" xfId="21" applyFont="1" applyFill="1" applyBorder="1" applyAlignment="1">
      <alignment horizontal="left" vertical="center"/>
    </xf>
    <xf numFmtId="2" fontId="51" fillId="3" borderId="20" xfId="21" applyNumberFormat="1" applyFont="1" applyFill="1" applyBorder="1" applyAlignment="1">
      <alignment horizontal="center" vertical="center"/>
    </xf>
    <xf numFmtId="0" fontId="50" fillId="3" borderId="20" xfId="13" applyFont="1" applyFill="1" applyBorder="1" applyAlignment="1">
      <alignment horizontal="left" vertical="center"/>
    </xf>
    <xf numFmtId="0" fontId="51" fillId="3" borderId="20" xfId="21" applyFont="1" applyFill="1" applyBorder="1" applyAlignment="1">
      <alignment horizontal="left" indent="1"/>
    </xf>
    <xf numFmtId="0" fontId="50" fillId="3" borderId="20" xfId="13" applyFont="1" applyFill="1" applyBorder="1" applyAlignment="1">
      <alignment horizontal="right" vertical="center"/>
    </xf>
    <xf numFmtId="49" fontId="51" fillId="3" borderId="0" xfId="21" applyNumberFormat="1" applyFont="1" applyFill="1" applyAlignment="1">
      <alignment horizontal="right"/>
    </xf>
    <xf numFmtId="0" fontId="51" fillId="3" borderId="0" xfId="21" applyFont="1" applyFill="1" applyAlignment="1">
      <alignment vertical="top" wrapText="1"/>
    </xf>
    <xf numFmtId="0" fontId="51" fillId="3" borderId="2" xfId="21" applyFont="1" applyFill="1" applyBorder="1" applyAlignment="1">
      <alignment vertical="top" wrapText="1"/>
    </xf>
    <xf numFmtId="0" fontId="51" fillId="3" borderId="0" xfId="21" applyFont="1" applyFill="1" applyAlignment="1">
      <alignment horizontal="right"/>
    </xf>
    <xf numFmtId="0" fontId="50" fillId="3" borderId="0" xfId="21" applyFont="1" applyFill="1" applyAlignment="1">
      <alignment horizontal="center"/>
    </xf>
    <xf numFmtId="165" fontId="50" fillId="3" borderId="0" xfId="21" applyNumberFormat="1" applyFont="1" applyFill="1" applyAlignment="1">
      <alignment horizontal="right"/>
    </xf>
    <xf numFmtId="9" fontId="50" fillId="3" borderId="0" xfId="22" applyFont="1" applyFill="1" applyBorder="1" applyAlignment="1" applyProtection="1">
      <alignment horizontal="right"/>
    </xf>
    <xf numFmtId="0" fontId="59" fillId="3" borderId="0" xfId="21" applyFont="1" applyFill="1" applyAlignment="1">
      <alignment horizontal="center"/>
    </xf>
    <xf numFmtId="9" fontId="50" fillId="3" borderId="0" xfId="22" applyFont="1" applyFill="1" applyBorder="1" applyAlignment="1" applyProtection="1"/>
    <xf numFmtId="0" fontId="50" fillId="3" borderId="28" xfId="0" applyFont="1" applyFill="1" applyBorder="1"/>
    <xf numFmtId="0" fontId="60" fillId="3" borderId="31" xfId="0" applyFont="1" applyFill="1" applyBorder="1"/>
    <xf numFmtId="0" fontId="60" fillId="3" borderId="20" xfId="0" applyFont="1" applyFill="1" applyBorder="1"/>
    <xf numFmtId="0" fontId="60" fillId="3" borderId="21" xfId="0" applyFont="1" applyFill="1" applyBorder="1"/>
    <xf numFmtId="0" fontId="60" fillId="3" borderId="22" xfId="0" applyFont="1" applyFill="1" applyBorder="1"/>
    <xf numFmtId="0" fontId="60" fillId="3" borderId="0" xfId="0" applyFont="1" applyFill="1"/>
    <xf numFmtId="0" fontId="60" fillId="3" borderId="2" xfId="0" applyFont="1" applyFill="1" applyBorder="1"/>
    <xf numFmtId="0" fontId="61" fillId="3" borderId="2" xfId="21" applyFont="1" applyFill="1" applyBorder="1" applyAlignment="1">
      <alignment horizontal="center" vertical="center"/>
    </xf>
    <xf numFmtId="0" fontId="60" fillId="3" borderId="8" xfId="0" applyFont="1" applyFill="1" applyBorder="1"/>
    <xf numFmtId="0" fontId="64" fillId="3" borderId="4" xfId="21" applyFont="1" applyFill="1" applyBorder="1" applyAlignment="1">
      <alignment horizontal="left" vertical="center"/>
    </xf>
    <xf numFmtId="0" fontId="65" fillId="3" borderId="4" xfId="21" applyFont="1" applyFill="1" applyBorder="1" applyAlignment="1">
      <alignment horizontal="left" vertical="center"/>
    </xf>
    <xf numFmtId="0" fontId="64" fillId="3" borderId="0" xfId="21" applyFont="1" applyFill="1" applyAlignment="1">
      <alignment horizontal="left" vertical="center"/>
    </xf>
    <xf numFmtId="0" fontId="65" fillId="3" borderId="0" xfId="21" applyFont="1" applyFill="1" applyAlignment="1">
      <alignment horizontal="left" vertical="center"/>
    </xf>
    <xf numFmtId="0" fontId="60" fillId="3" borderId="22" xfId="0" applyFont="1" applyFill="1" applyBorder="1" applyAlignment="1">
      <alignment horizontal="right"/>
    </xf>
    <xf numFmtId="0" fontId="61" fillId="3" borderId="0" xfId="21" applyFont="1" applyFill="1"/>
    <xf numFmtId="49" fontId="61" fillId="3" borderId="0" xfId="21" applyNumberFormat="1" applyFont="1" applyFill="1" applyAlignment="1">
      <alignment horizontal="right" vertical="center"/>
    </xf>
    <xf numFmtId="0" fontId="61" fillId="3" borderId="0" xfId="21" applyFont="1" applyFill="1" applyAlignment="1">
      <alignment horizontal="left" vertical="center"/>
    </xf>
    <xf numFmtId="0" fontId="61" fillId="3" borderId="0" xfId="21" applyFont="1" applyFill="1" applyAlignment="1">
      <alignment horizontal="center"/>
    </xf>
    <xf numFmtId="0" fontId="62" fillId="3" borderId="0" xfId="21" applyFont="1" applyFill="1" applyAlignment="1">
      <alignment horizontal="left" vertical="center"/>
    </xf>
    <xf numFmtId="0" fontId="62" fillId="3" borderId="0" xfId="21" applyFont="1" applyFill="1" applyAlignment="1">
      <alignment vertical="center"/>
    </xf>
    <xf numFmtId="0" fontId="62" fillId="3" borderId="0" xfId="13" applyFont="1" applyFill="1" applyAlignment="1">
      <alignment horizontal="left" vertical="center"/>
    </xf>
    <xf numFmtId="2" fontId="61" fillId="0" borderId="0" xfId="21" applyNumberFormat="1" applyFont="1" applyAlignment="1" applyProtection="1">
      <alignment horizontal="center" vertical="center"/>
      <protection locked="0"/>
    </xf>
    <xf numFmtId="0" fontId="62" fillId="3" borderId="0" xfId="0" applyFont="1" applyFill="1"/>
    <xf numFmtId="0" fontId="67" fillId="3" borderId="0" xfId="0" applyFont="1" applyFill="1"/>
    <xf numFmtId="0" fontId="62" fillId="3" borderId="0" xfId="21" applyFont="1" applyFill="1"/>
    <xf numFmtId="0" fontId="62" fillId="3" borderId="0" xfId="21" applyFont="1" applyFill="1" applyAlignment="1">
      <alignment horizontal="right"/>
    </xf>
    <xf numFmtId="1" fontId="61" fillId="3" borderId="0" xfId="21" applyNumberFormat="1" applyFont="1" applyFill="1" applyAlignment="1">
      <alignment horizontal="center" vertical="center"/>
    </xf>
    <xf numFmtId="0" fontId="61" fillId="3" borderId="0" xfId="21" applyFont="1" applyFill="1" applyAlignment="1">
      <alignment horizontal="left" indent="1"/>
    </xf>
    <xf numFmtId="0" fontId="62" fillId="3" borderId="0" xfId="13" applyFont="1" applyFill="1" applyAlignment="1">
      <alignment vertical="center"/>
    </xf>
    <xf numFmtId="0" fontId="62" fillId="3" borderId="0" xfId="13" applyFont="1" applyFill="1" applyAlignment="1">
      <alignment vertical="center" wrapText="1"/>
    </xf>
    <xf numFmtId="0" fontId="62" fillId="3" borderId="0" xfId="21" applyFont="1" applyFill="1" applyAlignment="1">
      <alignment horizontal="center" vertical="center"/>
    </xf>
    <xf numFmtId="165" fontId="61" fillId="0" borderId="0" xfId="21" applyNumberFormat="1" applyFont="1" applyAlignment="1" applyProtection="1">
      <alignment horizontal="center" vertical="center"/>
      <protection locked="0"/>
    </xf>
    <xf numFmtId="2" fontId="62" fillId="3" borderId="0" xfId="0" applyNumberFormat="1" applyFont="1" applyFill="1"/>
    <xf numFmtId="0" fontId="62" fillId="3" borderId="0" xfId="13" applyFont="1" applyFill="1" applyAlignment="1">
      <alignment horizontal="right" vertical="center"/>
    </xf>
    <xf numFmtId="0" fontId="62" fillId="3" borderId="2" xfId="13" applyFont="1" applyFill="1" applyBorder="1" applyAlignment="1">
      <alignment horizontal="left" vertical="center"/>
    </xf>
    <xf numFmtId="0" fontId="67" fillId="3" borderId="2" xfId="0" applyFont="1" applyFill="1" applyBorder="1"/>
    <xf numFmtId="165" fontId="61" fillId="3" borderId="2" xfId="21" applyNumberFormat="1" applyFont="1" applyFill="1" applyBorder="1" applyAlignment="1">
      <alignment horizontal="left" vertical="center" wrapText="1"/>
    </xf>
    <xf numFmtId="2" fontId="61" fillId="3" borderId="0" xfId="21" applyNumberFormat="1" applyFont="1" applyFill="1" applyAlignment="1">
      <alignment horizontal="center" vertical="center"/>
    </xf>
    <xf numFmtId="0" fontId="62" fillId="3" borderId="2" xfId="21" applyFont="1" applyFill="1" applyBorder="1" applyAlignment="1">
      <alignment vertical="center"/>
    </xf>
    <xf numFmtId="0" fontId="67" fillId="3" borderId="0" xfId="0" applyFont="1" applyFill="1" applyAlignment="1">
      <alignment horizontal="right"/>
    </xf>
    <xf numFmtId="0" fontId="62" fillId="3" borderId="20" xfId="21" applyFont="1" applyFill="1" applyBorder="1"/>
    <xf numFmtId="0" fontId="62" fillId="3" borderId="20" xfId="21" applyFont="1" applyFill="1" applyBorder="1" applyAlignment="1">
      <alignment horizontal="left" vertical="center"/>
    </xf>
    <xf numFmtId="1" fontId="61" fillId="3" borderId="20" xfId="21" applyNumberFormat="1" applyFont="1" applyFill="1" applyBorder="1" applyAlignment="1" applyProtection="1">
      <alignment horizontal="center" vertical="center"/>
      <protection locked="0"/>
    </xf>
    <xf numFmtId="0" fontId="62" fillId="3" borderId="20" xfId="13" applyFont="1" applyFill="1" applyBorder="1" applyAlignment="1">
      <alignment horizontal="left" vertical="center"/>
    </xf>
    <xf numFmtId="0" fontId="61" fillId="3" borderId="20" xfId="21" applyFont="1" applyFill="1" applyBorder="1" applyAlignment="1">
      <alignment horizontal="left" indent="1"/>
    </xf>
    <xf numFmtId="0" fontId="62" fillId="3" borderId="20" xfId="13" applyFont="1" applyFill="1" applyBorder="1" applyAlignment="1">
      <alignment horizontal="right" vertical="center"/>
    </xf>
    <xf numFmtId="2" fontId="61" fillId="3" borderId="20" xfId="21" applyNumberFormat="1" applyFont="1" applyFill="1" applyBorder="1" applyAlignment="1">
      <alignment horizontal="center" vertical="center"/>
    </xf>
    <xf numFmtId="0" fontId="62" fillId="3" borderId="21" xfId="21" applyFont="1" applyFill="1" applyBorder="1" applyAlignment="1">
      <alignment vertical="center"/>
    </xf>
    <xf numFmtId="0" fontId="62" fillId="3" borderId="69" xfId="13" applyFont="1" applyFill="1" applyBorder="1" applyAlignment="1">
      <alignment horizontal="left" vertical="center"/>
    </xf>
    <xf numFmtId="2" fontId="50" fillId="3" borderId="69" xfId="21" applyNumberFormat="1" applyFont="1" applyFill="1" applyBorder="1"/>
    <xf numFmtId="2" fontId="50" fillId="3" borderId="0" xfId="21" applyNumberFormat="1" applyFont="1" applyFill="1"/>
    <xf numFmtId="0" fontId="62" fillId="3" borderId="66" xfId="13" applyFont="1" applyFill="1" applyBorder="1" applyAlignment="1">
      <alignment horizontal="left" vertical="center"/>
    </xf>
    <xf numFmtId="2" fontId="50" fillId="3" borderId="66" xfId="21" applyNumberFormat="1" applyFont="1" applyFill="1" applyBorder="1"/>
    <xf numFmtId="0" fontId="61" fillId="3" borderId="0" xfId="13" applyFont="1" applyFill="1" applyAlignment="1">
      <alignment horizontal="left" vertical="center"/>
    </xf>
    <xf numFmtId="0" fontId="60" fillId="3" borderId="23" xfId="0" applyFont="1" applyFill="1" applyBorder="1"/>
    <xf numFmtId="0" fontId="62" fillId="3" borderId="1" xfId="21" applyFont="1" applyFill="1" applyBorder="1"/>
    <xf numFmtId="0" fontId="62" fillId="3" borderId="1" xfId="21" applyFont="1" applyFill="1" applyBorder="1" applyAlignment="1">
      <alignment horizontal="left" vertical="center"/>
    </xf>
    <xf numFmtId="2" fontId="61" fillId="3" borderId="1" xfId="21" applyNumberFormat="1" applyFont="1" applyFill="1" applyBorder="1" applyAlignment="1">
      <alignment horizontal="center" vertical="center"/>
    </xf>
    <xf numFmtId="0" fontId="62" fillId="3" borderId="1" xfId="13" applyFont="1" applyFill="1" applyBorder="1" applyAlignment="1">
      <alignment horizontal="left" vertical="center"/>
    </xf>
    <xf numFmtId="0" fontId="61" fillId="3" borderId="1" xfId="21" applyFont="1" applyFill="1" applyBorder="1" applyAlignment="1">
      <alignment horizontal="left" indent="1"/>
    </xf>
    <xf numFmtId="0" fontId="62" fillId="3" borderId="1" xfId="13" applyFont="1" applyFill="1" applyBorder="1" applyAlignment="1">
      <alignment horizontal="right" vertical="center"/>
    </xf>
    <xf numFmtId="0" fontId="62" fillId="3" borderId="28" xfId="21" applyFont="1" applyFill="1" applyBorder="1" applyAlignment="1">
      <alignment vertical="center"/>
    </xf>
    <xf numFmtId="0" fontId="67" fillId="3" borderId="31" xfId="0" applyFont="1" applyFill="1" applyBorder="1"/>
    <xf numFmtId="0" fontId="67" fillId="3" borderId="22" xfId="0" applyFont="1" applyFill="1" applyBorder="1"/>
    <xf numFmtId="49" fontId="61" fillId="3" borderId="0" xfId="21" applyNumberFormat="1" applyFont="1" applyFill="1" applyAlignment="1">
      <alignment horizontal="right"/>
    </xf>
    <xf numFmtId="0" fontId="61" fillId="3" borderId="0" xfId="21" applyFont="1" applyFill="1" applyAlignment="1">
      <alignment vertical="top" wrapText="1"/>
    </xf>
    <xf numFmtId="0" fontId="61" fillId="3" borderId="2" xfId="21" applyFont="1" applyFill="1" applyBorder="1" applyAlignment="1">
      <alignment vertical="top" wrapText="1"/>
    </xf>
    <xf numFmtId="0" fontId="61" fillId="3" borderId="0" xfId="21" applyFont="1" applyFill="1" applyAlignment="1">
      <alignment horizontal="right"/>
    </xf>
    <xf numFmtId="165" fontId="62" fillId="3" borderId="0" xfId="21" applyNumberFormat="1" applyFont="1" applyFill="1"/>
    <xf numFmtId="165" fontId="62" fillId="3" borderId="0" xfId="21" applyNumberFormat="1" applyFont="1" applyFill="1" applyAlignment="1">
      <alignment horizontal="right"/>
    </xf>
    <xf numFmtId="0" fontId="71" fillId="3" borderId="0" xfId="21" applyFont="1" applyFill="1" applyAlignment="1">
      <alignment horizontal="center"/>
    </xf>
    <xf numFmtId="0" fontId="67" fillId="3" borderId="23" xfId="0" applyFont="1" applyFill="1" applyBorder="1"/>
    <xf numFmtId="0" fontId="67" fillId="3" borderId="1" xfId="0" applyFont="1" applyFill="1" applyBorder="1"/>
    <xf numFmtId="0" fontId="67" fillId="3" borderId="28" xfId="0" applyFont="1" applyFill="1" applyBorder="1"/>
    <xf numFmtId="0" fontId="35" fillId="4" borderId="0" xfId="19" applyFont="1" applyFill="1" applyProtection="1">
      <protection hidden="1"/>
    </xf>
    <xf numFmtId="0" fontId="5" fillId="4" borderId="69" xfId="19" applyFont="1" applyFill="1" applyBorder="1" applyProtection="1">
      <protection hidden="1"/>
    </xf>
    <xf numFmtId="0" fontId="11" fillId="4" borderId="69" xfId="19" applyFont="1" applyFill="1" applyBorder="1" applyAlignment="1" applyProtection="1">
      <alignment horizontal="center" vertical="center"/>
      <protection hidden="1"/>
    </xf>
    <xf numFmtId="0" fontId="5" fillId="4" borderId="66" xfId="19" applyFont="1" applyFill="1" applyBorder="1" applyProtection="1">
      <protection hidden="1"/>
    </xf>
    <xf numFmtId="0" fontId="11" fillId="4" borderId="66" xfId="19" applyFont="1" applyFill="1" applyBorder="1" applyAlignment="1" applyProtection="1">
      <alignment horizontal="center" vertical="center"/>
      <protection hidden="1"/>
    </xf>
    <xf numFmtId="0" fontId="9" fillId="4" borderId="69" xfId="21" applyFont="1" applyFill="1" applyBorder="1" applyAlignment="1">
      <alignment vertical="center"/>
    </xf>
    <xf numFmtId="0" fontId="20" fillId="4" borderId="69" xfId="24" applyFill="1" applyBorder="1" applyProtection="1">
      <protection hidden="1"/>
    </xf>
    <xf numFmtId="0" fontId="9" fillId="4" borderId="66" xfId="21" applyFont="1" applyFill="1" applyBorder="1" applyAlignment="1">
      <alignment vertical="center"/>
    </xf>
    <xf numFmtId="0" fontId="20" fillId="4" borderId="66" xfId="24" applyFill="1" applyBorder="1" applyProtection="1">
      <protection hidden="1"/>
    </xf>
    <xf numFmtId="0" fontId="5" fillId="4" borderId="75" xfId="24" applyFont="1" applyFill="1" applyBorder="1" applyProtection="1">
      <protection hidden="1"/>
    </xf>
    <xf numFmtId="0" fontId="9" fillId="4" borderId="69" xfId="21" applyFont="1" applyFill="1" applyBorder="1" applyAlignment="1">
      <alignment horizontal="left" vertical="center"/>
    </xf>
    <xf numFmtId="0" fontId="9" fillId="4" borderId="0" xfId="21" applyFont="1" applyFill="1" applyAlignment="1">
      <alignment horizontal="left" vertical="center"/>
    </xf>
    <xf numFmtId="0" fontId="9" fillId="4" borderId="66" xfId="21" applyFont="1" applyFill="1" applyBorder="1" applyAlignment="1">
      <alignment horizontal="left" vertical="center"/>
    </xf>
    <xf numFmtId="0" fontId="20" fillId="4" borderId="67" xfId="24" applyFill="1" applyBorder="1" applyProtection="1">
      <protection hidden="1"/>
    </xf>
    <xf numFmtId="0" fontId="9" fillId="4" borderId="69" xfId="19" applyFont="1" applyFill="1" applyBorder="1" applyProtection="1">
      <protection hidden="1"/>
    </xf>
    <xf numFmtId="0" fontId="9" fillId="4" borderId="0" xfId="19" applyFont="1" applyFill="1" applyProtection="1">
      <protection hidden="1"/>
    </xf>
    <xf numFmtId="0" fontId="9" fillId="4" borderId="66" xfId="19" applyFont="1" applyFill="1" applyBorder="1" applyProtection="1">
      <protection hidden="1"/>
    </xf>
    <xf numFmtId="0" fontId="5" fillId="4" borderId="79" xfId="19" applyFont="1" applyFill="1" applyBorder="1" applyProtection="1">
      <protection hidden="1"/>
    </xf>
    <xf numFmtId="0" fontId="5" fillId="4" borderId="75" xfId="19" applyFont="1" applyFill="1" applyBorder="1" applyProtection="1">
      <protection hidden="1"/>
    </xf>
    <xf numFmtId="0" fontId="5" fillId="4" borderId="76" xfId="19" applyFont="1" applyFill="1" applyBorder="1" applyProtection="1">
      <protection hidden="1"/>
    </xf>
    <xf numFmtId="49" fontId="22" fillId="4" borderId="66" xfId="21" applyNumberFormat="1" applyFont="1" applyFill="1" applyBorder="1" applyAlignment="1">
      <alignment horizontal="right" vertical="center"/>
    </xf>
    <xf numFmtId="0" fontId="61" fillId="3" borderId="66" xfId="21" applyFont="1" applyFill="1" applyBorder="1" applyAlignment="1">
      <alignment horizontal="left" indent="1"/>
    </xf>
    <xf numFmtId="0" fontId="62" fillId="3" borderId="66" xfId="13" applyFont="1" applyFill="1" applyBorder="1" applyAlignment="1">
      <alignment horizontal="right" vertical="center"/>
    </xf>
    <xf numFmtId="2" fontId="61" fillId="3" borderId="66" xfId="21" applyNumberFormat="1" applyFont="1" applyFill="1" applyBorder="1" applyAlignment="1">
      <alignment horizontal="center" vertical="center"/>
    </xf>
    <xf numFmtId="0" fontId="62" fillId="3" borderId="67" xfId="21" applyFont="1" applyFill="1" applyBorder="1" applyAlignment="1">
      <alignment vertical="center"/>
    </xf>
    <xf numFmtId="0" fontId="50" fillId="3" borderId="66" xfId="21" applyFont="1" applyFill="1" applyBorder="1"/>
    <xf numFmtId="0" fontId="50" fillId="3" borderId="67" xfId="21" applyFont="1" applyFill="1" applyBorder="1"/>
    <xf numFmtId="0" fontId="51" fillId="3" borderId="66" xfId="21" applyFont="1" applyFill="1" applyBorder="1" applyAlignment="1">
      <alignment horizontal="left" indent="1"/>
    </xf>
    <xf numFmtId="0" fontId="50" fillId="3" borderId="66" xfId="13" applyFont="1" applyFill="1" applyBorder="1" applyAlignment="1">
      <alignment horizontal="right" vertical="center"/>
    </xf>
    <xf numFmtId="2" fontId="51" fillId="3" borderId="66" xfId="21" applyNumberFormat="1" applyFont="1" applyFill="1" applyBorder="1" applyAlignment="1">
      <alignment horizontal="center" vertical="center"/>
    </xf>
    <xf numFmtId="0" fontId="50" fillId="3" borderId="66" xfId="21" applyFont="1" applyFill="1" applyBorder="1" applyAlignment="1">
      <alignment vertical="center"/>
    </xf>
    <xf numFmtId="0" fontId="50" fillId="3" borderId="66" xfId="0" applyFont="1" applyFill="1" applyBorder="1"/>
    <xf numFmtId="1" fontId="61" fillId="0" borderId="0" xfId="21" applyNumberFormat="1" applyFont="1" applyAlignment="1" applyProtection="1">
      <alignment horizontal="center" vertical="center"/>
      <protection locked="0"/>
    </xf>
    <xf numFmtId="165" fontId="3" fillId="5" borderId="65" xfId="28" applyNumberFormat="1" applyFill="1" applyBorder="1"/>
    <xf numFmtId="165" fontId="3" fillId="5" borderId="22" xfId="28" applyNumberFormat="1" applyFill="1" applyBorder="1"/>
    <xf numFmtId="165" fontId="3" fillId="5" borderId="23" xfId="28" applyNumberFormat="1" applyFill="1" applyBorder="1"/>
    <xf numFmtId="0" fontId="3" fillId="6" borderId="29" xfId="28" applyFill="1" applyBorder="1" applyAlignment="1">
      <alignment horizontal="center"/>
    </xf>
    <xf numFmtId="165" fontId="32" fillId="5" borderId="26" xfId="28" applyNumberFormat="1" applyFont="1" applyFill="1" applyBorder="1"/>
    <xf numFmtId="165" fontId="32" fillId="5" borderId="60" xfId="28" applyNumberFormat="1" applyFont="1" applyFill="1" applyBorder="1"/>
    <xf numFmtId="165" fontId="72" fillId="5" borderId="80" xfId="28" applyNumberFormat="1" applyFont="1" applyFill="1" applyBorder="1"/>
    <xf numFmtId="0" fontId="72" fillId="6" borderId="43" xfId="28" applyFont="1" applyFill="1" applyBorder="1" applyAlignment="1">
      <alignment horizontal="center"/>
    </xf>
    <xf numFmtId="0" fontId="32" fillId="6" borderId="17" xfId="28" applyFont="1" applyFill="1" applyBorder="1" applyAlignment="1">
      <alignment horizontal="left"/>
    </xf>
    <xf numFmtId="165" fontId="32" fillId="5" borderId="13" xfId="28" applyNumberFormat="1" applyFont="1" applyFill="1" applyBorder="1"/>
    <xf numFmtId="165" fontId="32" fillId="5" borderId="81" xfId="28" applyNumberFormat="1" applyFont="1" applyFill="1" applyBorder="1"/>
    <xf numFmtId="165" fontId="32" fillId="5" borderId="82" xfId="28" applyNumberFormat="1" applyFont="1" applyFill="1" applyBorder="1"/>
    <xf numFmtId="0" fontId="32" fillId="6" borderId="24" xfId="28" applyFont="1" applyFill="1" applyBorder="1"/>
    <xf numFmtId="165" fontId="73" fillId="5" borderId="61" xfId="28" applyNumberFormat="1" applyFont="1" applyFill="1" applyBorder="1"/>
    <xf numFmtId="0" fontId="32" fillId="5" borderId="3" xfId="28" applyFont="1" applyFill="1" applyBorder="1"/>
    <xf numFmtId="0" fontId="32" fillId="5" borderId="14" xfId="28" applyFont="1" applyFill="1" applyBorder="1"/>
    <xf numFmtId="165" fontId="3" fillId="5" borderId="31" xfId="28" applyNumberFormat="1" applyFill="1" applyBorder="1"/>
    <xf numFmtId="0" fontId="32" fillId="6" borderId="35" xfId="28" applyFont="1" applyFill="1" applyBorder="1"/>
    <xf numFmtId="165" fontId="32" fillId="5" borderId="50" xfId="28" applyNumberFormat="1" applyFont="1" applyFill="1" applyBorder="1"/>
    <xf numFmtId="165" fontId="32" fillId="5" borderId="42" xfId="28" applyNumberFormat="1" applyFont="1" applyFill="1" applyBorder="1"/>
    <xf numFmtId="165" fontId="73" fillId="5" borderId="63" xfId="28" applyNumberFormat="1" applyFont="1" applyFill="1" applyBorder="1"/>
    <xf numFmtId="0" fontId="3" fillId="5" borderId="80" xfId="28" applyFill="1" applyBorder="1"/>
    <xf numFmtId="0" fontId="3" fillId="5" borderId="12" xfId="28" applyFill="1" applyBorder="1"/>
    <xf numFmtId="0" fontId="3" fillId="5" borderId="18" xfId="28" applyFill="1" applyBorder="1"/>
    <xf numFmtId="0" fontId="3" fillId="5" borderId="64" xfId="28" applyFill="1" applyBorder="1"/>
    <xf numFmtId="0" fontId="3" fillId="5" borderId="57" xfId="28" applyFill="1" applyBorder="1"/>
    <xf numFmtId="0" fontId="32" fillId="2" borderId="0" xfId="28" applyFont="1" applyFill="1" applyAlignment="1">
      <alignment horizontal="center"/>
    </xf>
    <xf numFmtId="2" fontId="32" fillId="2" borderId="0" xfId="28" applyNumberFormat="1" applyFont="1" applyFill="1" applyAlignment="1">
      <alignment horizontal="center"/>
    </xf>
    <xf numFmtId="0" fontId="32" fillId="2" borderId="6" xfId="28" applyFont="1" applyFill="1" applyBorder="1" applyAlignment="1">
      <alignment horizontal="center"/>
    </xf>
    <xf numFmtId="0" fontId="3" fillId="2" borderId="0" xfId="28" applyFill="1" applyAlignment="1">
      <alignment horizontal="center"/>
    </xf>
    <xf numFmtId="165" fontId="3" fillId="5" borderId="9" xfId="28" applyNumberFormat="1" applyFill="1" applyBorder="1"/>
    <xf numFmtId="165" fontId="72" fillId="5" borderId="12" xfId="28" applyNumberFormat="1" applyFont="1" applyFill="1" applyBorder="1"/>
    <xf numFmtId="165" fontId="0" fillId="5" borderId="1" xfId="0" applyNumberFormat="1" applyFill="1" applyBorder="1"/>
    <xf numFmtId="0" fontId="4" fillId="0" borderId="0" xfId="0" applyFont="1" applyAlignment="1">
      <alignment horizontal="center"/>
    </xf>
    <xf numFmtId="0" fontId="4" fillId="0" borderId="0" xfId="0" applyFont="1"/>
    <xf numFmtId="0" fontId="0" fillId="0" borderId="0" xfId="0" applyAlignment="1">
      <alignment horizontal="center"/>
    </xf>
    <xf numFmtId="0" fontId="75" fillId="3" borderId="0" xfId="0" applyFont="1" applyFill="1"/>
    <xf numFmtId="0" fontId="75" fillId="3" borderId="2" xfId="0" applyFont="1" applyFill="1" applyBorder="1"/>
    <xf numFmtId="0" fontId="75" fillId="3" borderId="23" xfId="0" applyFont="1" applyFill="1" applyBorder="1"/>
    <xf numFmtId="0" fontId="75" fillId="3" borderId="1" xfId="0" applyFont="1" applyFill="1" applyBorder="1"/>
    <xf numFmtId="0" fontId="75" fillId="3" borderId="28" xfId="0" applyFont="1" applyFill="1" applyBorder="1"/>
    <xf numFmtId="0" fontId="76" fillId="3" borderId="22" xfId="0" applyFont="1" applyFill="1" applyBorder="1"/>
    <xf numFmtId="0" fontId="77" fillId="3" borderId="22" xfId="0" applyFont="1" applyFill="1" applyBorder="1" applyAlignment="1">
      <alignment horizontal="right"/>
    </xf>
    <xf numFmtId="0" fontId="77" fillId="3" borderId="0" xfId="0" applyFont="1" applyFill="1"/>
    <xf numFmtId="0" fontId="78" fillId="3" borderId="0" xfId="0" applyFont="1" applyFill="1"/>
    <xf numFmtId="0" fontId="0" fillId="9" borderId="9" xfId="0" applyFill="1" applyBorder="1" applyAlignment="1">
      <alignment horizontal="center" vertical="center" textRotation="90"/>
    </xf>
    <xf numFmtId="0" fontId="20" fillId="4" borderId="22" xfId="24" applyFill="1" applyBorder="1" applyProtection="1">
      <protection hidden="1"/>
    </xf>
    <xf numFmtId="0" fontId="22" fillId="4" borderId="0" xfId="24" applyFont="1" applyFill="1" applyProtection="1">
      <protection hidden="1"/>
    </xf>
    <xf numFmtId="0" fontId="35" fillId="4" borderId="77" xfId="19" applyFont="1" applyFill="1" applyBorder="1" applyAlignment="1" applyProtection="1">
      <alignment vertical="center"/>
      <protection hidden="1"/>
    </xf>
    <xf numFmtId="0" fontId="35" fillId="4" borderId="74" xfId="19" applyFont="1" applyFill="1" applyBorder="1" applyAlignment="1" applyProtection="1">
      <alignment vertical="center"/>
      <protection hidden="1"/>
    </xf>
    <xf numFmtId="0" fontId="35" fillId="4" borderId="78" xfId="19" applyFont="1" applyFill="1" applyBorder="1" applyAlignment="1" applyProtection="1">
      <alignment vertical="center"/>
      <protection hidden="1"/>
    </xf>
    <xf numFmtId="0" fontId="9" fillId="4" borderId="2" xfId="24" applyFont="1" applyFill="1" applyBorder="1" applyAlignment="1" applyProtection="1">
      <alignment vertical="center"/>
      <protection hidden="1"/>
    </xf>
    <xf numFmtId="0" fontId="9" fillId="4" borderId="2" xfId="24" applyFont="1" applyFill="1" applyBorder="1" applyProtection="1">
      <protection hidden="1"/>
    </xf>
    <xf numFmtId="0" fontId="9" fillId="4" borderId="67" xfId="24" applyFont="1" applyFill="1" applyBorder="1" applyProtection="1">
      <protection hidden="1"/>
    </xf>
    <xf numFmtId="0" fontId="9" fillId="4" borderId="67" xfId="24" applyFont="1" applyFill="1" applyBorder="1" applyAlignment="1" applyProtection="1">
      <alignment vertical="center"/>
      <protection hidden="1"/>
    </xf>
    <xf numFmtId="165" fontId="9" fillId="4" borderId="83" xfId="19" applyNumberFormat="1" applyFont="1" applyFill="1" applyBorder="1" applyAlignment="1" applyProtection="1">
      <alignment vertical="center"/>
      <protection hidden="1"/>
    </xf>
    <xf numFmtId="165" fontId="9" fillId="4" borderId="84" xfId="19" applyNumberFormat="1" applyFont="1" applyFill="1" applyBorder="1" applyAlignment="1" applyProtection="1">
      <alignment vertical="center"/>
      <protection hidden="1"/>
    </xf>
    <xf numFmtId="165" fontId="9" fillId="4" borderId="85" xfId="19" applyNumberFormat="1" applyFont="1" applyFill="1" applyBorder="1" applyAlignment="1" applyProtection="1">
      <alignment vertical="center"/>
      <protection hidden="1"/>
    </xf>
    <xf numFmtId="0" fontId="9" fillId="4" borderId="83" xfId="24" applyFont="1" applyFill="1" applyBorder="1" applyAlignment="1" applyProtection="1">
      <alignment horizontal="center" vertical="center"/>
      <protection hidden="1"/>
    </xf>
    <xf numFmtId="0" fontId="9" fillId="4" borderId="84" xfId="24" applyFont="1" applyFill="1" applyBorder="1" applyAlignment="1" applyProtection="1">
      <alignment horizontal="center" vertical="center"/>
      <protection hidden="1"/>
    </xf>
    <xf numFmtId="0" fontId="9" fillId="4" borderId="85" xfId="24" applyFont="1" applyFill="1" applyBorder="1" applyAlignment="1" applyProtection="1">
      <alignment horizontal="center" vertical="center"/>
      <protection hidden="1"/>
    </xf>
    <xf numFmtId="0" fontId="5" fillId="4" borderId="85" xfId="19" applyFont="1" applyFill="1" applyBorder="1" applyProtection="1">
      <protection hidden="1"/>
    </xf>
    <xf numFmtId="0" fontId="5" fillId="4" borderId="86" xfId="19" applyFont="1" applyFill="1" applyBorder="1" applyProtection="1">
      <protection hidden="1"/>
    </xf>
    <xf numFmtId="0" fontId="9" fillId="4" borderId="87" xfId="19" applyFont="1" applyFill="1" applyBorder="1" applyAlignment="1" applyProtection="1">
      <alignment horizontal="center" vertical="center"/>
      <protection hidden="1"/>
    </xf>
    <xf numFmtId="0" fontId="5" fillId="4" borderId="76" xfId="19" applyFont="1" applyFill="1" applyBorder="1" applyAlignment="1" applyProtection="1">
      <alignment horizontal="left" indent="1"/>
      <protection hidden="1"/>
    </xf>
    <xf numFmtId="165" fontId="9" fillId="4" borderId="88" xfId="24" applyNumberFormat="1" applyFont="1" applyFill="1" applyBorder="1" applyAlignment="1" applyProtection="1">
      <alignment horizontal="right"/>
      <protection hidden="1"/>
    </xf>
    <xf numFmtId="165" fontId="9" fillId="4" borderId="89" xfId="24" applyNumberFormat="1" applyFont="1" applyFill="1" applyBorder="1" applyAlignment="1" applyProtection="1">
      <alignment horizontal="right"/>
      <protection hidden="1"/>
    </xf>
    <xf numFmtId="165" fontId="9" fillId="4" borderId="90" xfId="24" applyNumberFormat="1" applyFont="1" applyFill="1" applyBorder="1" applyAlignment="1" applyProtection="1">
      <alignment horizontal="right"/>
      <protection hidden="1"/>
    </xf>
    <xf numFmtId="0" fontId="9" fillId="4" borderId="72" xfId="24" applyFont="1" applyFill="1" applyBorder="1" applyProtection="1">
      <protection hidden="1"/>
    </xf>
    <xf numFmtId="0" fontId="0" fillId="0" borderId="20" xfId="0" applyBorder="1"/>
    <xf numFmtId="165" fontId="5" fillId="4" borderId="83" xfId="19" applyNumberFormat="1" applyFont="1" applyFill="1" applyBorder="1" applyAlignment="1" applyProtection="1">
      <alignment vertical="center"/>
      <protection hidden="1"/>
    </xf>
    <xf numFmtId="165" fontId="5" fillId="4" borderId="84" xfId="19" applyNumberFormat="1" applyFont="1" applyFill="1" applyBorder="1" applyAlignment="1" applyProtection="1">
      <alignment vertical="center"/>
      <protection hidden="1"/>
    </xf>
    <xf numFmtId="165" fontId="5" fillId="4" borderId="85" xfId="19" applyNumberFormat="1" applyFont="1" applyFill="1" applyBorder="1" applyAlignment="1" applyProtection="1">
      <alignment vertical="center"/>
      <protection hidden="1"/>
    </xf>
    <xf numFmtId="165" fontId="5" fillId="4" borderId="88" xfId="24" applyNumberFormat="1" applyFont="1" applyFill="1" applyBorder="1" applyAlignment="1" applyProtection="1">
      <alignment horizontal="right"/>
      <protection hidden="1"/>
    </xf>
    <xf numFmtId="165" fontId="5" fillId="4" borderId="89" xfId="24" applyNumberFormat="1" applyFont="1" applyFill="1" applyBorder="1" applyAlignment="1" applyProtection="1">
      <alignment horizontal="right"/>
      <protection hidden="1"/>
    </xf>
    <xf numFmtId="165" fontId="5" fillId="4" borderId="90" xfId="24" applyNumberFormat="1" applyFont="1" applyFill="1" applyBorder="1" applyAlignment="1" applyProtection="1">
      <alignment horizontal="right"/>
      <protection hidden="1"/>
    </xf>
    <xf numFmtId="0" fontId="79" fillId="0" borderId="0" xfId="0" applyFont="1" applyAlignment="1">
      <alignment horizontal="center" vertical="center"/>
    </xf>
    <xf numFmtId="0" fontId="5" fillId="3" borderId="22" xfId="19" applyFont="1" applyFill="1" applyBorder="1" applyAlignment="1" applyProtection="1">
      <alignment horizontal="left" indent="1"/>
      <protection hidden="1"/>
    </xf>
    <xf numFmtId="0" fontId="5" fillId="3" borderId="0" xfId="19" applyFont="1" applyFill="1" applyProtection="1">
      <protection hidden="1"/>
    </xf>
    <xf numFmtId="0" fontId="5" fillId="3" borderId="0" xfId="24" applyFont="1" applyFill="1" applyAlignment="1" applyProtection="1">
      <alignment vertical="center" wrapText="1"/>
      <protection hidden="1"/>
    </xf>
    <xf numFmtId="0" fontId="5" fillId="3" borderId="0" xfId="24" applyFont="1" applyFill="1" applyAlignment="1" applyProtection="1">
      <alignment horizontal="center" vertical="center"/>
      <protection hidden="1"/>
    </xf>
    <xf numFmtId="169" fontId="5" fillId="3" borderId="0" xfId="24" applyNumberFormat="1" applyFont="1" applyFill="1" applyAlignment="1" applyProtection="1">
      <alignment horizontal="left" vertical="center"/>
      <protection hidden="1"/>
    </xf>
    <xf numFmtId="0" fontId="20" fillId="3" borderId="0" xfId="24" applyFill="1" applyProtection="1">
      <protection hidden="1"/>
    </xf>
    <xf numFmtId="0" fontId="20" fillId="3" borderId="2" xfId="24" applyFill="1" applyBorder="1" applyProtection="1">
      <protection hidden="1"/>
    </xf>
    <xf numFmtId="0" fontId="5" fillId="3" borderId="23" xfId="19" applyFont="1" applyFill="1" applyBorder="1" applyAlignment="1" applyProtection="1">
      <alignment horizontal="left" indent="1"/>
      <protection hidden="1"/>
    </xf>
    <xf numFmtId="0" fontId="5" fillId="3" borderId="1" xfId="24" applyFont="1" applyFill="1" applyBorder="1" applyAlignment="1" applyProtection="1">
      <alignment vertical="center" wrapText="1"/>
      <protection hidden="1"/>
    </xf>
    <xf numFmtId="0" fontId="5" fillId="3" borderId="1" xfId="24" applyFont="1" applyFill="1" applyBorder="1" applyAlignment="1" applyProtection="1">
      <alignment horizontal="center" vertical="center"/>
      <protection hidden="1"/>
    </xf>
    <xf numFmtId="169" fontId="5" fillId="3" borderId="1" xfId="24" applyNumberFormat="1" applyFont="1" applyFill="1" applyBorder="1" applyAlignment="1" applyProtection="1">
      <alignment horizontal="left" vertical="center"/>
      <protection hidden="1"/>
    </xf>
    <xf numFmtId="0" fontId="20" fillId="3" borderId="1" xfId="24" applyFill="1" applyBorder="1" applyProtection="1">
      <protection hidden="1"/>
    </xf>
    <xf numFmtId="0" fontId="20" fillId="3" borderId="28" xfId="24" applyFill="1" applyBorder="1" applyProtection="1">
      <protection hidden="1"/>
    </xf>
    <xf numFmtId="2" fontId="51" fillId="0" borderId="0" xfId="21" applyNumberFormat="1" applyFont="1" applyAlignment="1" applyProtection="1">
      <alignment horizontal="left" vertical="center"/>
      <protection locked="0"/>
    </xf>
    <xf numFmtId="0" fontId="50" fillId="3" borderId="69" xfId="0" applyFont="1" applyFill="1" applyBorder="1"/>
    <xf numFmtId="0" fontId="5" fillId="3" borderId="0" xfId="19" applyFont="1" applyFill="1" applyAlignment="1" applyProtection="1">
      <alignment horizontal="left"/>
      <protection hidden="1"/>
    </xf>
    <xf numFmtId="0" fontId="5" fillId="3" borderId="1" xfId="19" applyFont="1" applyFill="1" applyBorder="1" applyAlignment="1" applyProtection="1">
      <alignment horizontal="left"/>
      <protection hidden="1"/>
    </xf>
    <xf numFmtId="0" fontId="2" fillId="6" borderId="8" xfId="28" applyFont="1" applyFill="1" applyBorder="1" applyAlignment="1">
      <alignment horizontal="center"/>
    </xf>
    <xf numFmtId="0" fontId="2" fillId="5" borderId="22" xfId="28" applyFont="1" applyFill="1" applyBorder="1"/>
    <xf numFmtId="0" fontId="2" fillId="6" borderId="9" xfId="28" applyFont="1" applyFill="1" applyBorder="1"/>
    <xf numFmtId="0" fontId="2" fillId="5" borderId="65" xfId="28" applyFont="1" applyFill="1" applyBorder="1"/>
    <xf numFmtId="0" fontId="2" fillId="5" borderId="37" xfId="28" applyFont="1" applyFill="1" applyBorder="1"/>
    <xf numFmtId="0" fontId="2" fillId="6" borderId="50" xfId="28" applyFont="1" applyFill="1" applyBorder="1" applyAlignment="1">
      <alignment horizontal="center"/>
    </xf>
    <xf numFmtId="0" fontId="2" fillId="6" borderId="48" xfId="28" applyFont="1" applyFill="1" applyBorder="1" applyAlignment="1">
      <alignment horizontal="center"/>
    </xf>
    <xf numFmtId="0" fontId="2" fillId="6" borderId="16" xfId="28" applyFont="1" applyFill="1" applyBorder="1"/>
    <xf numFmtId="2" fontId="2" fillId="2" borderId="5" xfId="28" applyNumberFormat="1" applyFont="1" applyFill="1" applyBorder="1" applyAlignment="1">
      <alignment horizontal="center"/>
    </xf>
    <xf numFmtId="0" fontId="2" fillId="2" borderId="29" xfId="28" quotePrefix="1" applyFont="1" applyFill="1" applyBorder="1" applyAlignment="1">
      <alignment horizontal="center"/>
    </xf>
    <xf numFmtId="0" fontId="2" fillId="6" borderId="25" xfId="28" applyFont="1" applyFill="1" applyBorder="1"/>
    <xf numFmtId="0" fontId="2" fillId="6" borderId="19" xfId="28" applyFont="1" applyFill="1" applyBorder="1"/>
    <xf numFmtId="0" fontId="2" fillId="2" borderId="0" xfId="28" applyFont="1" applyFill="1" applyAlignment="1">
      <alignment horizontal="center"/>
    </xf>
    <xf numFmtId="0" fontId="2" fillId="6" borderId="0" xfId="28" applyFont="1" applyFill="1"/>
    <xf numFmtId="0" fontId="0" fillId="0" borderId="0" xfId="0" quotePrefix="1"/>
    <xf numFmtId="0" fontId="80" fillId="3" borderId="22" xfId="0" applyFont="1" applyFill="1" applyBorder="1" applyAlignment="1">
      <alignment horizontal="right"/>
    </xf>
    <xf numFmtId="0" fontId="80" fillId="3" borderId="0" xfId="0" applyFont="1" applyFill="1"/>
    <xf numFmtId="0" fontId="81" fillId="3" borderId="0" xfId="0" applyFont="1" applyFill="1"/>
    <xf numFmtId="0" fontId="82" fillId="3" borderId="22" xfId="0" applyFont="1" applyFill="1" applyBorder="1"/>
    <xf numFmtId="2" fontId="29" fillId="4" borderId="0" xfId="21" applyNumberFormat="1" applyFont="1" applyFill="1" applyAlignment="1" applyProtection="1">
      <alignment horizontal="center" vertical="center"/>
      <protection locked="0"/>
    </xf>
    <xf numFmtId="0" fontId="0" fillId="3" borderId="0" xfId="0" applyFill="1" applyAlignment="1">
      <alignment wrapText="1"/>
    </xf>
    <xf numFmtId="0" fontId="0" fillId="3" borderId="3" xfId="0" applyFill="1" applyBorder="1" applyAlignment="1">
      <alignment wrapText="1"/>
    </xf>
    <xf numFmtId="0" fontId="4" fillId="8" borderId="30" xfId="0" applyFont="1" applyFill="1" applyBorder="1" applyAlignment="1">
      <alignment wrapText="1"/>
    </xf>
    <xf numFmtId="0" fontId="0" fillId="3" borderId="6" xfId="0" applyFill="1" applyBorder="1" applyAlignment="1">
      <alignment wrapText="1"/>
    </xf>
    <xf numFmtId="0" fontId="0" fillId="3" borderId="12" xfId="0" applyFill="1" applyBorder="1" applyAlignment="1">
      <alignment wrapText="1"/>
    </xf>
    <xf numFmtId="0" fontId="0" fillId="3" borderId="16" xfId="0" applyFill="1" applyBorder="1" applyAlignment="1">
      <alignment vertical="top" wrapText="1"/>
    </xf>
    <xf numFmtId="0" fontId="0" fillId="3" borderId="11" xfId="0" applyFill="1" applyBorder="1" applyAlignment="1">
      <alignment wrapText="1"/>
    </xf>
    <xf numFmtId="0" fontId="0" fillId="3" borderId="14" xfId="0" applyFill="1" applyBorder="1" applyAlignment="1">
      <alignment wrapText="1"/>
    </xf>
    <xf numFmtId="0" fontId="4" fillId="8" borderId="15" xfId="0" applyFont="1" applyFill="1" applyBorder="1" applyAlignment="1">
      <alignment wrapText="1"/>
    </xf>
    <xf numFmtId="0" fontId="4" fillId="8" borderId="16" xfId="0" applyFont="1" applyFill="1" applyBorder="1" applyAlignment="1">
      <alignment wrapText="1"/>
    </xf>
    <xf numFmtId="0" fontId="4" fillId="8" borderId="17" xfId="0" applyFont="1" applyFill="1" applyBorder="1" applyAlignment="1">
      <alignment wrapText="1"/>
    </xf>
    <xf numFmtId="0" fontId="4" fillId="8" borderId="16" xfId="0" applyFont="1" applyFill="1" applyBorder="1" applyAlignment="1">
      <alignment vertical="top" wrapText="1"/>
    </xf>
    <xf numFmtId="0" fontId="4" fillId="8" borderId="15" xfId="0" applyFont="1" applyFill="1" applyBorder="1" applyAlignment="1">
      <alignment vertical="top" wrapText="1"/>
    </xf>
    <xf numFmtId="0" fontId="4" fillId="8" borderId="17" xfId="0" applyFont="1" applyFill="1" applyBorder="1" applyAlignment="1">
      <alignment vertical="top" wrapText="1"/>
    </xf>
    <xf numFmtId="0" fontId="11" fillId="4" borderId="69" xfId="19" applyFont="1" applyFill="1" applyBorder="1" applyAlignment="1" applyProtection="1">
      <alignment horizontal="right" vertical="center"/>
      <protection hidden="1"/>
    </xf>
    <xf numFmtId="0" fontId="11" fillId="4" borderId="0" xfId="19" applyFont="1" applyFill="1" applyAlignment="1" applyProtection="1">
      <alignment horizontal="right" vertical="center"/>
      <protection hidden="1"/>
    </xf>
    <xf numFmtId="0" fontId="11" fillId="4" borderId="66" xfId="19" applyFont="1" applyFill="1" applyBorder="1" applyAlignment="1" applyProtection="1">
      <alignment horizontal="right" vertical="center"/>
      <protection hidden="1"/>
    </xf>
    <xf numFmtId="0" fontId="5" fillId="4" borderId="91" xfId="24" applyFont="1" applyFill="1" applyBorder="1" applyProtection="1">
      <protection hidden="1"/>
    </xf>
    <xf numFmtId="0" fontId="5" fillId="4" borderId="92" xfId="19" applyFont="1" applyFill="1" applyBorder="1" applyAlignment="1" applyProtection="1">
      <alignment horizontal="left"/>
      <protection hidden="1"/>
    </xf>
    <xf numFmtId="0" fontId="5" fillId="4" borderId="92" xfId="21" applyFont="1" applyFill="1" applyBorder="1" applyAlignment="1">
      <alignment vertical="center"/>
    </xf>
    <xf numFmtId="0" fontId="5" fillId="4" borderId="92" xfId="24" applyFont="1" applyFill="1" applyBorder="1" applyAlignment="1" applyProtection="1">
      <alignment horizontal="center" vertical="center"/>
      <protection hidden="1"/>
    </xf>
    <xf numFmtId="2" fontId="5" fillId="4" borderId="92" xfId="24" applyNumberFormat="1" applyFont="1" applyFill="1" applyBorder="1" applyAlignment="1" applyProtection="1">
      <alignment horizontal="right"/>
      <protection hidden="1"/>
    </xf>
    <xf numFmtId="168" fontId="5" fillId="4" borderId="92" xfId="24" applyNumberFormat="1" applyFont="1" applyFill="1" applyBorder="1" applyAlignment="1" applyProtection="1">
      <alignment horizontal="left"/>
      <protection hidden="1"/>
    </xf>
    <xf numFmtId="0" fontId="20" fillId="4" borderId="92" xfId="24" applyFill="1" applyBorder="1" applyProtection="1">
      <protection hidden="1"/>
    </xf>
    <xf numFmtId="0" fontId="20" fillId="4" borderId="93" xfId="24" applyFill="1" applyBorder="1" applyProtection="1">
      <protection hidden="1"/>
    </xf>
    <xf numFmtId="0" fontId="7" fillId="4" borderId="0" xfId="21" applyFont="1" applyFill="1" applyAlignment="1">
      <alignment horizontal="center" vertical="center"/>
    </xf>
    <xf numFmtId="1" fontId="5" fillId="4" borderId="0" xfId="24" applyNumberFormat="1" applyFont="1" applyFill="1" applyAlignment="1" applyProtection="1">
      <alignment horizontal="left"/>
      <protection hidden="1"/>
    </xf>
    <xf numFmtId="0" fontId="5" fillId="4" borderId="1" xfId="24" applyFont="1" applyFill="1" applyBorder="1" applyAlignment="1" applyProtection="1">
      <alignment vertical="center" wrapText="1"/>
      <protection hidden="1"/>
    </xf>
    <xf numFmtId="0" fontId="5" fillId="4" borderId="1" xfId="24" applyFont="1" applyFill="1" applyBorder="1" applyAlignment="1" applyProtection="1">
      <alignment horizontal="center" vertical="center"/>
      <protection hidden="1"/>
    </xf>
    <xf numFmtId="169" fontId="5" fillId="0" borderId="1" xfId="24" applyNumberFormat="1" applyFont="1" applyBorder="1" applyAlignment="1" applyProtection="1">
      <alignment horizontal="left" vertical="center"/>
      <protection hidden="1"/>
    </xf>
    <xf numFmtId="0" fontId="5" fillId="4" borderId="91" xfId="19" applyFont="1" applyFill="1" applyBorder="1" applyAlignment="1" applyProtection="1">
      <alignment horizontal="left" indent="1"/>
      <protection hidden="1"/>
    </xf>
    <xf numFmtId="0" fontId="5" fillId="4" borderId="92" xfId="24" applyFont="1" applyFill="1" applyBorder="1" applyAlignment="1" applyProtection="1">
      <alignment horizontal="left" vertical="center"/>
      <protection hidden="1"/>
    </xf>
    <xf numFmtId="171" fontId="5" fillId="4" borderId="92" xfId="24" applyNumberFormat="1" applyFont="1" applyFill="1" applyBorder="1" applyAlignment="1" applyProtection="1">
      <alignment horizontal="right" vertical="center"/>
      <protection hidden="1"/>
    </xf>
    <xf numFmtId="0" fontId="5" fillId="4" borderId="92" xfId="19" applyFont="1" applyFill="1" applyBorder="1" applyProtection="1">
      <protection hidden="1"/>
    </xf>
    <xf numFmtId="171" fontId="5" fillId="4" borderId="0" xfId="24" applyNumberFormat="1" applyFont="1" applyFill="1" applyAlignment="1" applyProtection="1">
      <alignment horizontal="left" vertical="center"/>
      <protection hidden="1"/>
    </xf>
    <xf numFmtId="2" fontId="17" fillId="2" borderId="1" xfId="19" applyNumberFormat="1" applyFont="1" applyFill="1" applyBorder="1" applyAlignment="1">
      <alignment horizontal="center" vertical="center"/>
    </xf>
    <xf numFmtId="0" fontId="5" fillId="4" borderId="0" xfId="19" applyFont="1" applyFill="1" applyAlignment="1" applyProtection="1">
      <alignment horizontal="left"/>
      <protection locked="0" hidden="1"/>
    </xf>
    <xf numFmtId="0" fontId="5" fillId="3" borderId="0" xfId="19" applyFont="1" applyFill="1" applyAlignment="1" applyProtection="1">
      <alignment horizontal="left"/>
      <protection hidden="1"/>
    </xf>
    <xf numFmtId="0" fontId="5" fillId="4" borderId="0" xfId="19" applyFont="1" applyFill="1" applyProtection="1">
      <protection locked="0" hidden="1"/>
    </xf>
    <xf numFmtId="0" fontId="9" fillId="3" borderId="0" xfId="19" applyFont="1" applyFill="1" applyAlignment="1" applyProtection="1">
      <alignment horizontal="left"/>
      <protection hidden="1"/>
    </xf>
    <xf numFmtId="0" fontId="0" fillId="3" borderId="0" xfId="0" applyFill="1" applyAlignment="1">
      <alignment horizontal="center"/>
    </xf>
    <xf numFmtId="0" fontId="49" fillId="3" borderId="20" xfId="0" applyFont="1" applyFill="1" applyBorder="1" applyAlignment="1">
      <alignment horizontal="center" wrapText="1"/>
    </xf>
    <xf numFmtId="0" fontId="49" fillId="3" borderId="0" xfId="0" applyFont="1" applyFill="1" applyAlignment="1">
      <alignment horizontal="center" wrapText="1"/>
    </xf>
    <xf numFmtId="0" fontId="28" fillId="3" borderId="0" xfId="0" applyFont="1" applyFill="1" applyAlignment="1">
      <alignment horizontal="center" vertical="center"/>
    </xf>
    <xf numFmtId="0" fontId="0" fillId="3" borderId="0" xfId="0" applyFill="1" applyAlignment="1">
      <alignment horizontal="center" vertical="top"/>
    </xf>
    <xf numFmtId="0" fontId="0" fillId="4" borderId="0" xfId="0" applyFill="1" applyAlignment="1">
      <alignment vertical="top" wrapText="1"/>
    </xf>
    <xf numFmtId="0" fontId="0" fillId="4" borderId="1" xfId="0" applyFill="1" applyBorder="1" applyAlignment="1">
      <alignment vertical="top" wrapText="1"/>
    </xf>
    <xf numFmtId="0" fontId="48" fillId="4" borderId="0" xfId="0" applyFont="1" applyFill="1" applyAlignment="1">
      <alignment vertical="top" wrapText="1"/>
    </xf>
    <xf numFmtId="0" fontId="0" fillId="9" borderId="15" xfId="0" applyFill="1" applyBorder="1" applyAlignment="1">
      <alignment horizontal="center" vertical="center" textRotation="90"/>
    </xf>
    <xf numFmtId="0" fontId="0" fillId="9" borderId="16" xfId="0" applyFill="1" applyBorder="1" applyAlignment="1">
      <alignment horizontal="center" vertical="center" textRotation="90"/>
    </xf>
    <xf numFmtId="0" fontId="0" fillId="9" borderId="17" xfId="0" applyFill="1" applyBorder="1" applyAlignment="1">
      <alignment horizontal="center" vertical="center" textRotation="90"/>
    </xf>
    <xf numFmtId="0" fontId="0" fillId="9" borderId="10" xfId="0" applyFill="1" applyBorder="1" applyAlignment="1">
      <alignment horizontal="center" vertical="center" textRotation="90" wrapText="1"/>
    </xf>
    <xf numFmtId="0" fontId="0" fillId="9" borderId="9" xfId="0" applyFill="1" applyBorder="1" applyAlignment="1">
      <alignment horizontal="center" vertical="center" textRotation="90" wrapText="1"/>
    </xf>
    <xf numFmtId="0" fontId="0" fillId="9" borderId="13" xfId="0" applyFill="1" applyBorder="1" applyAlignment="1">
      <alignment horizontal="center" vertical="center" textRotation="90" wrapText="1"/>
    </xf>
    <xf numFmtId="0" fontId="0" fillId="9" borderId="10" xfId="0" applyFill="1" applyBorder="1" applyAlignment="1">
      <alignment horizontal="center" vertical="center" textRotation="90"/>
    </xf>
    <xf numFmtId="0" fontId="0" fillId="9" borderId="13" xfId="0" applyFill="1" applyBorder="1" applyAlignment="1">
      <alignment horizontal="center" vertical="center" textRotation="90"/>
    </xf>
    <xf numFmtId="0" fontId="0" fillId="9" borderId="9" xfId="0" applyFill="1" applyBorder="1" applyAlignment="1">
      <alignment horizontal="center" vertical="center" textRotation="90"/>
    </xf>
    <xf numFmtId="0" fontId="4" fillId="0" borderId="0" xfId="0" applyFont="1" applyAlignment="1">
      <alignment horizontal="center"/>
    </xf>
    <xf numFmtId="0" fontId="81" fillId="3" borderId="0" xfId="0" applyFont="1" applyFill="1" applyAlignment="1">
      <alignment vertical="top" wrapText="1"/>
    </xf>
    <xf numFmtId="0" fontId="52" fillId="3" borderId="75" xfId="0" applyFont="1" applyFill="1" applyBorder="1" applyAlignment="1">
      <alignment horizontal="center" vertical="center" wrapText="1"/>
    </xf>
    <xf numFmtId="0" fontId="52" fillId="3" borderId="69" xfId="0" applyFont="1" applyFill="1" applyBorder="1" applyAlignment="1">
      <alignment horizontal="center" vertical="center" wrapText="1"/>
    </xf>
    <xf numFmtId="0" fontId="52" fillId="3" borderId="22" xfId="0" applyFont="1" applyFill="1" applyBorder="1" applyAlignment="1">
      <alignment horizontal="center" vertical="center" wrapText="1"/>
    </xf>
    <xf numFmtId="0" fontId="52" fillId="3" borderId="0" xfId="0" applyFont="1" applyFill="1" applyAlignment="1">
      <alignment horizontal="center" vertical="center" wrapText="1"/>
    </xf>
    <xf numFmtId="0" fontId="52" fillId="3" borderId="76" xfId="0" applyFont="1" applyFill="1" applyBorder="1" applyAlignment="1">
      <alignment horizontal="center" vertical="center" wrapText="1"/>
    </xf>
    <xf numFmtId="0" fontId="52" fillId="3" borderId="66" xfId="0" applyFont="1" applyFill="1" applyBorder="1" applyAlignment="1">
      <alignment horizontal="center" vertical="center" wrapText="1"/>
    </xf>
    <xf numFmtId="0" fontId="52" fillId="3" borderId="75" xfId="0" applyFont="1" applyFill="1" applyBorder="1" applyAlignment="1">
      <alignment horizontal="center" vertical="center"/>
    </xf>
    <xf numFmtId="0" fontId="52" fillId="3" borderId="69" xfId="0" applyFont="1" applyFill="1" applyBorder="1" applyAlignment="1">
      <alignment horizontal="center" vertical="center"/>
    </xf>
    <xf numFmtId="0" fontId="52" fillId="3" borderId="22" xfId="0" applyFont="1" applyFill="1" applyBorder="1" applyAlignment="1">
      <alignment horizontal="center" vertical="center"/>
    </xf>
    <xf numFmtId="0" fontId="52" fillId="3" borderId="0" xfId="0" applyFont="1" applyFill="1" applyAlignment="1">
      <alignment horizontal="center" vertical="center"/>
    </xf>
    <xf numFmtId="0" fontId="52" fillId="3" borderId="76" xfId="0" applyFont="1" applyFill="1" applyBorder="1" applyAlignment="1">
      <alignment horizontal="center" vertical="center"/>
    </xf>
    <xf numFmtId="0" fontId="52" fillId="3" borderId="66" xfId="0" applyFont="1" applyFill="1" applyBorder="1" applyAlignment="1">
      <alignment horizontal="center" vertical="center"/>
    </xf>
    <xf numFmtId="166" fontId="51" fillId="3" borderId="1" xfId="21" applyNumberFormat="1" applyFont="1" applyFill="1" applyBorder="1" applyAlignment="1">
      <alignment horizontal="right" vertical="center"/>
    </xf>
    <xf numFmtId="0" fontId="51" fillId="3" borderId="0" xfId="21" applyFont="1" applyFill="1" applyAlignment="1">
      <alignment horizontal="left" vertical="top" wrapText="1"/>
    </xf>
    <xf numFmtId="0" fontId="51" fillId="3" borderId="2" xfId="21" applyFont="1" applyFill="1" applyBorder="1" applyAlignment="1">
      <alignment horizontal="left" vertical="top" wrapText="1"/>
    </xf>
    <xf numFmtId="2" fontId="51" fillId="2" borderId="31" xfId="19" applyNumberFormat="1" applyFont="1" applyFill="1" applyBorder="1" applyAlignment="1">
      <alignment horizontal="center" vertical="center"/>
    </xf>
    <xf numFmtId="2" fontId="51" fillId="2" borderId="20" xfId="19" applyNumberFormat="1" applyFont="1" applyFill="1" applyBorder="1" applyAlignment="1">
      <alignment horizontal="center" vertical="center"/>
    </xf>
    <xf numFmtId="2" fontId="51" fillId="2" borderId="21" xfId="19" applyNumberFormat="1" applyFont="1" applyFill="1" applyBorder="1" applyAlignment="1">
      <alignment horizontal="center" vertical="center"/>
    </xf>
    <xf numFmtId="0" fontId="50" fillId="3" borderId="0" xfId="13" applyFont="1" applyFill="1" applyAlignment="1">
      <alignment horizontal="left" vertical="center"/>
    </xf>
    <xf numFmtId="0" fontId="50" fillId="3" borderId="66" xfId="13" applyFont="1" applyFill="1" applyBorder="1" applyAlignment="1">
      <alignment horizontal="left" vertical="center"/>
    </xf>
    <xf numFmtId="2" fontId="51" fillId="0" borderId="0" xfId="21" applyNumberFormat="1" applyFont="1" applyAlignment="1" applyProtection="1">
      <alignment horizontal="left" vertical="top"/>
      <protection locked="0"/>
    </xf>
    <xf numFmtId="0" fontId="50" fillId="3" borderId="0" xfId="21" applyFont="1" applyFill="1" applyAlignment="1">
      <alignment horizontal="center" vertical="center"/>
    </xf>
    <xf numFmtId="0" fontId="50" fillId="4" borderId="0" xfId="19" applyFont="1" applyFill="1" applyAlignment="1" applyProtection="1">
      <alignment horizontal="center"/>
      <protection locked="0" hidden="1"/>
    </xf>
    <xf numFmtId="0" fontId="50" fillId="3" borderId="0" xfId="19" applyFont="1" applyFill="1" applyAlignment="1" applyProtection="1">
      <alignment horizontal="left"/>
      <protection hidden="1"/>
    </xf>
    <xf numFmtId="2" fontId="50" fillId="3" borderId="0" xfId="21" applyNumberFormat="1" applyFont="1" applyFill="1" applyAlignment="1">
      <alignment horizontal="center" vertical="center"/>
    </xf>
    <xf numFmtId="0" fontId="51" fillId="3" borderId="0" xfId="19" applyFont="1" applyFill="1" applyAlignment="1" applyProtection="1">
      <alignment horizontal="left"/>
      <protection hidden="1"/>
    </xf>
    <xf numFmtId="0" fontId="50" fillId="3" borderId="0" xfId="0" applyFont="1" applyFill="1" applyAlignment="1">
      <alignment horizontal="center"/>
    </xf>
    <xf numFmtId="0" fontId="50" fillId="4" borderId="0" xfId="19" applyFont="1" applyFill="1" applyAlignment="1" applyProtection="1">
      <alignment horizontal="left"/>
      <protection locked="0" hidden="1"/>
    </xf>
    <xf numFmtId="0" fontId="0" fillId="2" borderId="4" xfId="0" applyFill="1" applyBorder="1" applyAlignment="1">
      <alignment horizontal="center"/>
    </xf>
    <xf numFmtId="0" fontId="2" fillId="2" borderId="64" xfId="28" quotePrefix="1" applyFont="1" applyFill="1" applyBorder="1" applyAlignment="1">
      <alignment horizontal="center" vertical="center"/>
    </xf>
    <xf numFmtId="0" fontId="2" fillId="2" borderId="80" xfId="28" quotePrefix="1" applyFont="1" applyFill="1" applyBorder="1" applyAlignment="1">
      <alignment horizontal="center" vertical="center"/>
    </xf>
    <xf numFmtId="0" fontId="2" fillId="2" borderId="57" xfId="28" quotePrefix="1" applyFont="1" applyFill="1" applyBorder="1" applyAlignment="1">
      <alignment horizontal="center" vertical="center"/>
    </xf>
    <xf numFmtId="0" fontId="32" fillId="6" borderId="38" xfId="28" applyFont="1" applyFill="1" applyBorder="1" applyAlignment="1">
      <alignment horizontal="center"/>
    </xf>
    <xf numFmtId="0" fontId="32" fillId="6" borderId="39" xfId="28" applyFont="1" applyFill="1" applyBorder="1" applyAlignment="1">
      <alignment horizontal="center"/>
    </xf>
    <xf numFmtId="0" fontId="32" fillId="6" borderId="40" xfId="28" applyFont="1" applyFill="1" applyBorder="1" applyAlignment="1">
      <alignment horizontal="center"/>
    </xf>
    <xf numFmtId="0" fontId="32" fillId="6" borderId="15" xfId="28" applyFont="1" applyFill="1" applyBorder="1" applyAlignment="1">
      <alignment horizontal="center"/>
    </xf>
    <xf numFmtId="0" fontId="32" fillId="6" borderId="17" xfId="28" applyFont="1" applyFill="1" applyBorder="1" applyAlignment="1">
      <alignment horizontal="center"/>
    </xf>
    <xf numFmtId="0" fontId="2" fillId="2" borderId="5" xfId="28" applyFont="1" applyFill="1" applyBorder="1" applyAlignment="1">
      <alignment horizontal="center" vertical="center"/>
    </xf>
    <xf numFmtId="0" fontId="32" fillId="6" borderId="51" xfId="28" applyFont="1" applyFill="1" applyBorder="1" applyAlignment="1">
      <alignment horizontal="center"/>
    </xf>
    <xf numFmtId="0" fontId="32" fillId="6" borderId="4" xfId="28" applyFont="1" applyFill="1" applyBorder="1" applyAlignment="1">
      <alignment horizontal="center"/>
    </xf>
    <xf numFmtId="0" fontId="32" fillId="6" borderId="52" xfId="28" applyFont="1" applyFill="1" applyBorder="1" applyAlignment="1">
      <alignment horizontal="center"/>
    </xf>
    <xf numFmtId="2" fontId="32" fillId="5" borderId="7" xfId="28" applyNumberFormat="1" applyFont="1" applyFill="1" applyBorder="1" applyAlignment="1">
      <alignment horizontal="center"/>
    </xf>
    <xf numFmtId="2" fontId="32" fillId="5" borderId="29" xfId="28" applyNumberFormat="1" applyFont="1" applyFill="1" applyBorder="1" applyAlignment="1">
      <alignment horizontal="center"/>
    </xf>
    <xf numFmtId="2" fontId="32" fillId="5" borderId="42" xfId="28" applyNumberFormat="1" applyFont="1" applyFill="1" applyBorder="1" applyAlignment="1">
      <alignment horizontal="center"/>
    </xf>
    <xf numFmtId="2" fontId="32" fillId="5" borderId="43" xfId="28" applyNumberFormat="1" applyFont="1" applyFill="1" applyBorder="1" applyAlignment="1">
      <alignment horizontal="center"/>
    </xf>
    <xf numFmtId="0" fontId="32" fillId="6" borderId="54" xfId="28" applyFont="1" applyFill="1" applyBorder="1" applyAlignment="1">
      <alignment horizontal="center"/>
    </xf>
    <xf numFmtId="0" fontId="32" fillId="6" borderId="55" xfId="28" applyFont="1" applyFill="1" applyBorder="1" applyAlignment="1">
      <alignment horizontal="center"/>
    </xf>
    <xf numFmtId="0" fontId="32" fillId="6" borderId="56" xfId="28" applyFont="1" applyFill="1" applyBorder="1" applyAlignment="1">
      <alignment horizontal="center"/>
    </xf>
    <xf numFmtId="0" fontId="32" fillId="6" borderId="50" xfId="28" applyFont="1" applyFill="1" applyBorder="1" applyAlignment="1">
      <alignment horizontal="center"/>
    </xf>
    <xf numFmtId="0" fontId="32" fillId="6" borderId="62" xfId="28" applyFont="1" applyFill="1" applyBorder="1" applyAlignment="1">
      <alignment horizontal="center"/>
    </xf>
    <xf numFmtId="0" fontId="32" fillId="6" borderId="63" xfId="28" applyFont="1" applyFill="1" applyBorder="1" applyAlignment="1">
      <alignment horizontal="center"/>
    </xf>
    <xf numFmtId="0" fontId="37" fillId="5" borderId="51" xfId="0" applyFont="1" applyFill="1" applyBorder="1" applyAlignment="1">
      <alignment horizontal="center"/>
    </xf>
    <xf numFmtId="0" fontId="37" fillId="5" borderId="52" xfId="0" applyFont="1" applyFill="1" applyBorder="1" applyAlignment="1">
      <alignment horizontal="center"/>
    </xf>
    <xf numFmtId="0" fontId="42" fillId="2" borderId="10" xfId="0" applyFont="1" applyFill="1" applyBorder="1" applyAlignment="1">
      <alignment horizontal="center" vertical="center" textRotation="90"/>
    </xf>
    <xf numFmtId="0" fontId="42" fillId="2" borderId="11" xfId="0" applyFont="1" applyFill="1" applyBorder="1" applyAlignment="1">
      <alignment horizontal="center" vertical="center" textRotation="90"/>
    </xf>
    <xf numFmtId="0" fontId="42" fillId="2" borderId="9" xfId="0" applyFont="1" applyFill="1" applyBorder="1" applyAlignment="1">
      <alignment horizontal="center" vertical="center" textRotation="90"/>
    </xf>
    <xf numFmtId="0" fontId="42" fillId="2" borderId="12" xfId="0" applyFont="1" applyFill="1" applyBorder="1" applyAlignment="1">
      <alignment horizontal="center" vertical="center" textRotation="90"/>
    </xf>
    <xf numFmtId="0" fontId="42" fillId="2" borderId="13" xfId="0" applyFont="1" applyFill="1" applyBorder="1" applyAlignment="1">
      <alignment horizontal="center" vertical="center" textRotation="90"/>
    </xf>
    <xf numFmtId="0" fontId="42" fillId="2" borderId="14" xfId="0" applyFont="1" applyFill="1" applyBorder="1" applyAlignment="1">
      <alignment horizontal="center" vertical="center" textRotation="90"/>
    </xf>
    <xf numFmtId="0" fontId="37" fillId="2" borderId="39" xfId="0" applyFont="1" applyFill="1" applyBorder="1" applyAlignment="1">
      <alignment horizontal="center"/>
    </xf>
    <xf numFmtId="0" fontId="37" fillId="6" borderId="10" xfId="0" applyFont="1" applyFill="1" applyBorder="1" applyAlignment="1">
      <alignment horizontal="center" vertical="center" wrapText="1"/>
    </xf>
    <xf numFmtId="0" fontId="37" fillId="6" borderId="9" xfId="0" applyFont="1" applyFill="1" applyBorder="1" applyAlignment="1">
      <alignment horizontal="center" vertical="center" wrapText="1"/>
    </xf>
    <xf numFmtId="0" fontId="37" fillId="6" borderId="13" xfId="0" applyFont="1" applyFill="1" applyBorder="1" applyAlignment="1">
      <alignment horizontal="center" vertical="center" wrapText="1"/>
    </xf>
    <xf numFmtId="0" fontId="37" fillId="5" borderId="38" xfId="0" applyFont="1" applyFill="1" applyBorder="1" applyAlignment="1">
      <alignment horizontal="center"/>
    </xf>
    <xf numFmtId="0" fontId="37" fillId="5" borderId="40" xfId="0" applyFont="1" applyFill="1" applyBorder="1" applyAlignment="1">
      <alignment horizontal="center"/>
    </xf>
    <xf numFmtId="0" fontId="37" fillId="5" borderId="46" xfId="0" applyFont="1" applyFill="1" applyBorder="1" applyAlignment="1">
      <alignment horizontal="center"/>
    </xf>
    <xf numFmtId="0" fontId="37" fillId="5" borderId="29" xfId="0" applyFont="1" applyFill="1" applyBorder="1" applyAlignment="1">
      <alignment horizontal="center"/>
    </xf>
    <xf numFmtId="0" fontId="37" fillId="5" borderId="44" xfId="0" applyFont="1" applyFill="1" applyBorder="1" applyAlignment="1">
      <alignment horizontal="center"/>
    </xf>
    <xf numFmtId="0" fontId="37" fillId="5" borderId="43" xfId="0" applyFont="1" applyFill="1" applyBorder="1" applyAlignment="1">
      <alignment horizontal="center"/>
    </xf>
    <xf numFmtId="0" fontId="37" fillId="2" borderId="40" xfId="0" applyFont="1" applyFill="1" applyBorder="1" applyAlignment="1">
      <alignment horizontal="center"/>
    </xf>
    <xf numFmtId="0" fontId="39" fillId="7" borderId="15" xfId="0" applyFont="1" applyFill="1" applyBorder="1" applyAlignment="1">
      <alignment vertical="center" wrapText="1"/>
    </xf>
    <xf numFmtId="0" fontId="39" fillId="7" borderId="17" xfId="0" applyFont="1" applyFill="1" applyBorder="1" applyAlignment="1">
      <alignment vertical="center" wrapText="1"/>
    </xf>
    <xf numFmtId="0" fontId="39" fillId="7" borderId="10" xfId="0" applyFont="1" applyFill="1" applyBorder="1" applyAlignment="1">
      <alignment horizontal="right" vertical="center"/>
    </xf>
    <xf numFmtId="0" fontId="39" fillId="7" borderId="13" xfId="0" applyFont="1" applyFill="1" applyBorder="1" applyAlignment="1">
      <alignment horizontal="right" vertical="center"/>
    </xf>
    <xf numFmtId="0" fontId="39" fillId="7" borderId="11" xfId="0" applyFont="1" applyFill="1" applyBorder="1" applyAlignment="1">
      <alignment horizontal="right" vertical="center"/>
    </xf>
    <xf numFmtId="0" fontId="39" fillId="7" borderId="14" xfId="0" applyFont="1" applyFill="1" applyBorder="1" applyAlignment="1">
      <alignment horizontal="right" vertical="center"/>
    </xf>
    <xf numFmtId="0" fontId="39" fillId="7" borderId="30" xfId="0" applyFont="1" applyFill="1" applyBorder="1" applyAlignment="1">
      <alignment horizontal="center" vertical="center" wrapText="1"/>
    </xf>
    <xf numFmtId="0" fontId="39" fillId="7" borderId="27" xfId="0" applyFont="1" applyFill="1" applyBorder="1" applyAlignment="1">
      <alignment horizontal="center" vertical="center" wrapText="1"/>
    </xf>
    <xf numFmtId="0" fontId="39" fillId="7" borderId="26" xfId="0" applyFont="1" applyFill="1" applyBorder="1" applyAlignment="1">
      <alignment horizontal="center"/>
    </xf>
    <xf numFmtId="0" fontId="39" fillId="7" borderId="30" xfId="0" applyFont="1" applyFill="1" applyBorder="1" applyAlignment="1">
      <alignment horizontal="center"/>
    </xf>
    <xf numFmtId="0" fontId="37" fillId="2" borderId="38" xfId="0" applyFont="1" applyFill="1" applyBorder="1" applyAlignment="1">
      <alignment horizontal="center"/>
    </xf>
    <xf numFmtId="0" fontId="39" fillId="7" borderId="27" xfId="0" applyFont="1" applyFill="1" applyBorder="1" applyAlignment="1">
      <alignment horizontal="center"/>
    </xf>
    <xf numFmtId="0" fontId="4" fillId="7" borderId="54" xfId="0" applyFont="1" applyFill="1" applyBorder="1" applyAlignment="1">
      <alignment horizontal="center"/>
    </xf>
    <xf numFmtId="0" fontId="4" fillId="7" borderId="55" xfId="0" applyFont="1" applyFill="1" applyBorder="1" applyAlignment="1">
      <alignment horizontal="center"/>
    </xf>
    <xf numFmtId="0" fontId="4" fillId="7" borderId="56" xfId="0" applyFont="1" applyFill="1" applyBorder="1" applyAlignment="1">
      <alignment horizontal="center"/>
    </xf>
    <xf numFmtId="0" fontId="4" fillId="7" borderId="50" xfId="0" applyFont="1" applyFill="1" applyBorder="1" applyAlignment="1">
      <alignment horizontal="center"/>
    </xf>
    <xf numFmtId="0" fontId="4" fillId="7" borderId="62" xfId="0" applyFont="1" applyFill="1" applyBorder="1" applyAlignment="1">
      <alignment horizontal="center"/>
    </xf>
    <xf numFmtId="0" fontId="4" fillId="7" borderId="63" xfId="0" applyFont="1" applyFill="1" applyBorder="1" applyAlignment="1">
      <alignment horizontal="center"/>
    </xf>
    <xf numFmtId="2" fontId="0" fillId="5" borderId="50" xfId="0" applyNumberFormat="1" applyFill="1" applyBorder="1" applyAlignment="1">
      <alignment horizontal="center"/>
    </xf>
    <xf numFmtId="2" fontId="0" fillId="5" borderId="62" xfId="0" applyNumberFormat="1" applyFill="1" applyBorder="1" applyAlignment="1">
      <alignment horizontal="center"/>
    </xf>
    <xf numFmtId="2" fontId="0" fillId="5" borderId="63" xfId="0" applyNumberFormat="1" applyFill="1" applyBorder="1" applyAlignment="1">
      <alignment horizontal="center"/>
    </xf>
    <xf numFmtId="0" fontId="37" fillId="2" borderId="31" xfId="0" applyFont="1" applyFill="1" applyBorder="1" applyAlignment="1">
      <alignment horizontal="center" wrapText="1"/>
    </xf>
    <xf numFmtId="0" fontId="37" fillId="2" borderId="23" xfId="0" applyFont="1" applyFill="1" applyBorder="1" applyAlignment="1">
      <alignment horizontal="center" wrapText="1"/>
    </xf>
    <xf numFmtId="0" fontId="39" fillId="7" borderId="54" xfId="0" applyFont="1" applyFill="1" applyBorder="1" applyAlignment="1">
      <alignment horizontal="center"/>
    </xf>
    <xf numFmtId="0" fontId="39" fillId="7" borderId="55" xfId="0" applyFont="1" applyFill="1" applyBorder="1" applyAlignment="1">
      <alignment horizontal="center"/>
    </xf>
    <xf numFmtId="0" fontId="39" fillId="7" borderId="56" xfId="0" applyFont="1" applyFill="1" applyBorder="1" applyAlignment="1">
      <alignment horizontal="center"/>
    </xf>
    <xf numFmtId="0" fontId="39" fillId="7" borderId="13" xfId="0" applyFont="1" applyFill="1" applyBorder="1" applyAlignment="1">
      <alignment horizontal="center"/>
    </xf>
    <xf numFmtId="0" fontId="39" fillId="7" borderId="3" xfId="0" applyFont="1" applyFill="1" applyBorder="1" applyAlignment="1">
      <alignment horizontal="center"/>
    </xf>
    <xf numFmtId="0" fontId="39" fillId="7" borderId="14" xfId="0" applyFont="1" applyFill="1" applyBorder="1" applyAlignment="1">
      <alignment horizontal="center"/>
    </xf>
    <xf numFmtId="0" fontId="39" fillId="7" borderId="28" xfId="0" applyFont="1" applyFill="1" applyBorder="1" applyAlignment="1">
      <alignment horizontal="center"/>
    </xf>
    <xf numFmtId="0" fontId="39" fillId="7" borderId="37" xfId="0" applyFont="1" applyFill="1" applyBorder="1" applyAlignment="1">
      <alignment horizontal="center"/>
    </xf>
    <xf numFmtId="0" fontId="39" fillId="7" borderId="23" xfId="0" applyFont="1" applyFill="1" applyBorder="1" applyAlignment="1">
      <alignment horizontal="center"/>
    </xf>
    <xf numFmtId="0" fontId="39" fillId="7" borderId="10" xfId="0" applyFont="1" applyFill="1" applyBorder="1" applyAlignment="1">
      <alignment horizontal="center"/>
    </xf>
    <xf numFmtId="0" fontId="39" fillId="7" borderId="6" xfId="0" applyFont="1" applyFill="1" applyBorder="1" applyAlignment="1">
      <alignment horizontal="center"/>
    </xf>
    <xf numFmtId="0" fontId="39" fillId="7" borderId="11" xfId="0" applyFont="1" applyFill="1" applyBorder="1" applyAlignment="1">
      <alignment horizontal="center"/>
    </xf>
    <xf numFmtId="0" fontId="39" fillId="6" borderId="26" xfId="0" applyFont="1" applyFill="1" applyBorder="1" applyAlignment="1">
      <alignment horizontal="left"/>
    </xf>
    <xf numFmtId="0" fontId="39" fillId="6" borderId="30" xfId="0" applyFont="1" applyFill="1" applyBorder="1" applyAlignment="1">
      <alignment horizontal="left"/>
    </xf>
    <xf numFmtId="0" fontId="39" fillId="6" borderId="14" xfId="0" applyFont="1" applyFill="1" applyBorder="1" applyAlignment="1">
      <alignment horizontal="left"/>
    </xf>
    <xf numFmtId="0" fontId="39" fillId="7" borderId="10" xfId="0" applyFont="1" applyFill="1" applyBorder="1" applyAlignment="1">
      <alignment horizontal="center" vertical="center"/>
    </xf>
    <xf numFmtId="0" fontId="39" fillId="7" borderId="11" xfId="0" applyFont="1" applyFill="1" applyBorder="1" applyAlignment="1">
      <alignment horizontal="center" vertical="center"/>
    </xf>
    <xf numFmtId="0" fontId="39" fillId="7" borderId="13" xfId="0" applyFont="1" applyFill="1" applyBorder="1" applyAlignment="1">
      <alignment horizontal="center" vertical="center"/>
    </xf>
    <xf numFmtId="0" fontId="39" fillId="7" borderId="14" xfId="0" applyFont="1" applyFill="1" applyBorder="1" applyAlignment="1">
      <alignment horizontal="center" vertical="center"/>
    </xf>
    <xf numFmtId="0" fontId="39" fillId="7" borderId="38" xfId="0" applyFont="1" applyFill="1" applyBorder="1" applyAlignment="1">
      <alignment horizontal="center"/>
    </xf>
    <xf numFmtId="0" fontId="39" fillId="7" borderId="39" xfId="0" applyFont="1" applyFill="1" applyBorder="1" applyAlignment="1">
      <alignment horizontal="center"/>
    </xf>
    <xf numFmtId="0" fontId="39" fillId="7" borderId="40" xfId="0" applyFont="1" applyFill="1" applyBorder="1" applyAlignment="1">
      <alignment horizontal="center"/>
    </xf>
    <xf numFmtId="0" fontId="39" fillId="7" borderId="44" xfId="0" applyFont="1" applyFill="1" applyBorder="1" applyAlignment="1">
      <alignment horizontal="center"/>
    </xf>
    <xf numFmtId="0" fontId="39" fillId="7" borderId="42" xfId="0" applyFont="1" applyFill="1" applyBorder="1" applyAlignment="1">
      <alignment horizontal="center"/>
    </xf>
    <xf numFmtId="0" fontId="39" fillId="7" borderId="43" xfId="0" applyFont="1" applyFill="1" applyBorder="1" applyAlignment="1">
      <alignment horizontal="center"/>
    </xf>
    <xf numFmtId="0" fontId="37" fillId="6" borderId="15" xfId="0" applyFont="1" applyFill="1" applyBorder="1" applyAlignment="1">
      <alignment horizontal="center" vertical="center" wrapText="1"/>
    </xf>
    <xf numFmtId="0" fontId="37" fillId="6" borderId="16" xfId="0" applyFont="1" applyFill="1" applyBorder="1" applyAlignment="1">
      <alignment horizontal="center" vertical="center" wrapText="1"/>
    </xf>
    <xf numFmtId="0" fontId="37" fillId="6" borderId="17" xfId="0" applyFont="1" applyFill="1" applyBorder="1" applyAlignment="1">
      <alignment horizontal="center" vertical="center" wrapText="1"/>
    </xf>
    <xf numFmtId="0" fontId="5" fillId="4" borderId="69" xfId="19" applyFont="1" applyFill="1" applyBorder="1" applyAlignment="1" applyProtection="1">
      <alignment horizontal="center" vertical="center" textRotation="90" wrapText="1"/>
      <protection hidden="1"/>
    </xf>
    <xf numFmtId="0" fontId="5" fillId="4" borderId="0" xfId="19" applyFont="1" applyFill="1" applyAlignment="1" applyProtection="1">
      <alignment horizontal="center" vertical="center" textRotation="90" wrapText="1"/>
      <protection hidden="1"/>
    </xf>
    <xf numFmtId="0" fontId="5" fillId="4" borderId="66" xfId="19" applyFont="1" applyFill="1" applyBorder="1" applyAlignment="1" applyProtection="1">
      <alignment horizontal="center" vertical="center" textRotation="90" wrapText="1"/>
      <protection hidden="1"/>
    </xf>
    <xf numFmtId="0" fontId="5" fillId="4" borderId="0" xfId="24" applyFont="1" applyFill="1" applyAlignment="1" applyProtection="1">
      <alignment vertical="center" wrapText="1"/>
      <protection hidden="1"/>
    </xf>
    <xf numFmtId="0" fontId="5" fillId="4" borderId="2" xfId="24" applyFont="1" applyFill="1" applyBorder="1" applyAlignment="1" applyProtection="1">
      <alignment vertical="center" wrapText="1"/>
      <protection hidden="1"/>
    </xf>
    <xf numFmtId="2" fontId="21" fillId="4" borderId="1" xfId="24" applyNumberFormat="1" applyFont="1" applyFill="1" applyBorder="1" applyAlignment="1" applyProtection="1">
      <alignment horizontal="center"/>
      <protection hidden="1"/>
    </xf>
    <xf numFmtId="2" fontId="21" fillId="4" borderId="28" xfId="24" applyNumberFormat="1" applyFont="1" applyFill="1" applyBorder="1" applyAlignment="1" applyProtection="1">
      <alignment horizontal="center"/>
      <protection hidden="1"/>
    </xf>
    <xf numFmtId="0" fontId="24" fillId="4" borderId="0" xfId="24" applyFont="1" applyFill="1" applyAlignment="1" applyProtection="1">
      <alignment horizontal="left"/>
      <protection hidden="1"/>
    </xf>
    <xf numFmtId="0" fontId="9" fillId="4" borderId="1" xfId="19" applyFont="1" applyFill="1" applyBorder="1" applyAlignment="1" applyProtection="1">
      <alignment horizontal="left"/>
      <protection hidden="1"/>
    </xf>
    <xf numFmtId="14" fontId="9" fillId="4" borderId="1" xfId="19" applyNumberFormat="1" applyFont="1" applyFill="1" applyBorder="1" applyAlignment="1" applyProtection="1">
      <alignment horizontal="left"/>
      <protection hidden="1"/>
    </xf>
    <xf numFmtId="0" fontId="25" fillId="3" borderId="23" xfId="19" applyFont="1" applyFill="1" applyBorder="1" applyAlignment="1" applyProtection="1">
      <alignment horizontal="center" vertical="center"/>
      <protection hidden="1"/>
    </xf>
    <xf numFmtId="0" fontId="25" fillId="3" borderId="1" xfId="19" applyFont="1" applyFill="1" applyBorder="1" applyAlignment="1" applyProtection="1">
      <alignment horizontal="center" vertical="center"/>
      <protection hidden="1"/>
    </xf>
    <xf numFmtId="0" fontId="25" fillId="3" borderId="28" xfId="19" applyFont="1" applyFill="1" applyBorder="1" applyAlignment="1" applyProtection="1">
      <alignment horizontal="center" vertical="center"/>
      <protection hidden="1"/>
    </xf>
    <xf numFmtId="0" fontId="5" fillId="4" borderId="0" xfId="24" applyFont="1" applyFill="1" applyAlignment="1" applyProtection="1">
      <alignment horizontal="left" vertical="center" wrapText="1"/>
      <protection hidden="1"/>
    </xf>
    <xf numFmtId="0" fontId="5" fillId="4" borderId="2" xfId="24" applyFont="1" applyFill="1" applyBorder="1" applyAlignment="1" applyProtection="1">
      <alignment horizontal="left" vertical="center" wrapText="1"/>
      <protection hidden="1"/>
    </xf>
    <xf numFmtId="0" fontId="25" fillId="3" borderId="8" xfId="19" applyFont="1" applyFill="1" applyBorder="1" applyAlignment="1" applyProtection="1">
      <alignment horizontal="center" vertical="center"/>
      <protection hidden="1"/>
    </xf>
    <xf numFmtId="0" fontId="25" fillId="3" borderId="4" xfId="19" applyFont="1" applyFill="1" applyBorder="1" applyAlignment="1" applyProtection="1">
      <alignment horizontal="center" vertical="center"/>
      <protection hidden="1"/>
    </xf>
    <xf numFmtId="0" fontId="25" fillId="3" borderId="5" xfId="19" applyFont="1" applyFill="1" applyBorder="1" applyAlignment="1" applyProtection="1">
      <alignment horizontal="center" vertical="center"/>
      <protection hidden="1"/>
    </xf>
    <xf numFmtId="0" fontId="60" fillId="3" borderId="0" xfId="0" applyFont="1" applyFill="1" applyAlignment="1">
      <alignment horizontal="center"/>
    </xf>
    <xf numFmtId="2" fontId="62" fillId="3" borderId="0" xfId="21" applyNumberFormat="1" applyFont="1" applyFill="1" applyAlignment="1">
      <alignment horizontal="center" vertical="center"/>
    </xf>
    <xf numFmtId="2" fontId="61" fillId="0" borderId="0" xfId="21" applyNumberFormat="1" applyFont="1" applyAlignment="1" applyProtection="1">
      <alignment horizontal="left" vertical="center"/>
      <protection locked="0"/>
    </xf>
    <xf numFmtId="2" fontId="63" fillId="2" borderId="31" xfId="19" applyNumberFormat="1" applyFont="1" applyFill="1" applyBorder="1" applyAlignment="1">
      <alignment horizontal="center" vertical="center"/>
    </xf>
    <xf numFmtId="2" fontId="63" fillId="2" borderId="20" xfId="19" applyNumberFormat="1" applyFont="1" applyFill="1" applyBorder="1" applyAlignment="1">
      <alignment horizontal="center" vertical="center"/>
    </xf>
    <xf numFmtId="2" fontId="63" fillId="2" borderId="21" xfId="19" applyNumberFormat="1" applyFont="1" applyFill="1" applyBorder="1" applyAlignment="1">
      <alignment horizontal="center" vertical="center"/>
    </xf>
    <xf numFmtId="166" fontId="61" fillId="3" borderId="1" xfId="21" applyNumberFormat="1" applyFont="1" applyFill="1" applyBorder="1" applyAlignment="1">
      <alignment horizontal="right" vertical="center"/>
    </xf>
    <xf numFmtId="0" fontId="61" fillId="3" borderId="0" xfId="21" applyFont="1" applyFill="1" applyAlignment="1">
      <alignment horizontal="left" vertical="top" wrapText="1"/>
    </xf>
    <xf numFmtId="0" fontId="61" fillId="3" borderId="2" xfId="21" applyFont="1" applyFill="1" applyBorder="1" applyAlignment="1">
      <alignment horizontal="left" vertical="top" wrapText="1"/>
    </xf>
    <xf numFmtId="0" fontId="62" fillId="3" borderId="0" xfId="21" applyFont="1" applyFill="1" applyAlignment="1">
      <alignment horizontal="left" vertical="center" wrapText="1"/>
    </xf>
    <xf numFmtId="2" fontId="61" fillId="0" borderId="0" xfId="21" applyNumberFormat="1" applyFont="1" applyAlignment="1" applyProtection="1">
      <alignment horizontal="center" vertical="center"/>
      <protection locked="0"/>
    </xf>
    <xf numFmtId="0" fontId="62" fillId="3" borderId="0" xfId="13" applyFont="1" applyFill="1" applyAlignment="1">
      <alignment horizontal="left" vertical="center" wrapText="1"/>
    </xf>
    <xf numFmtId="0" fontId="32" fillId="6" borderId="26" xfId="28" applyFont="1" applyFill="1" applyBorder="1" applyAlignment="1">
      <alignment horizontal="center"/>
    </xf>
    <xf numFmtId="0" fontId="32" fillId="6" borderId="30" xfId="28" applyFont="1" applyFill="1" applyBorder="1" applyAlignment="1">
      <alignment horizontal="center"/>
    </xf>
    <xf numFmtId="0" fontId="32" fillId="6" borderId="27" xfId="28" applyFont="1" applyFill="1" applyBorder="1" applyAlignment="1">
      <alignment horizontal="center"/>
    </xf>
    <xf numFmtId="0" fontId="32" fillId="5" borderId="8" xfId="28" applyFont="1" applyFill="1" applyBorder="1" applyAlignment="1">
      <alignment horizontal="center"/>
    </xf>
    <xf numFmtId="0" fontId="32" fillId="5" borderId="4" xfId="28" applyFont="1" applyFill="1" applyBorder="1" applyAlignment="1">
      <alignment horizontal="center"/>
    </xf>
    <xf numFmtId="0" fontId="32" fillId="5" borderId="5" xfId="28" applyFont="1" applyFill="1" applyBorder="1" applyAlignment="1">
      <alignment horizontal="center"/>
    </xf>
    <xf numFmtId="0" fontId="32" fillId="6" borderId="1" xfId="28" applyFont="1" applyFill="1" applyBorder="1" applyAlignment="1">
      <alignment horizontal="center"/>
    </xf>
    <xf numFmtId="0" fontId="32" fillId="6" borderId="28" xfId="28" applyFont="1" applyFill="1" applyBorder="1" applyAlignment="1">
      <alignment horizontal="center"/>
    </xf>
    <xf numFmtId="0" fontId="32" fillId="6" borderId="8" xfId="28" applyFont="1" applyFill="1" applyBorder="1" applyAlignment="1">
      <alignment horizontal="center"/>
    </xf>
    <xf numFmtId="0" fontId="32" fillId="6" borderId="47" xfId="28" applyFont="1" applyFill="1" applyBorder="1" applyAlignment="1">
      <alignment horizontal="center"/>
    </xf>
    <xf numFmtId="0" fontId="32" fillId="6" borderId="5" xfId="28" applyFont="1" applyFill="1" applyBorder="1" applyAlignment="1">
      <alignment horizontal="center"/>
    </xf>
    <xf numFmtId="0" fontId="32" fillId="5" borderId="31" xfId="28" applyFont="1" applyFill="1" applyBorder="1" applyAlignment="1">
      <alignment horizontal="center"/>
    </xf>
    <xf numFmtId="0" fontId="32" fillId="5" borderId="20" xfId="28" applyFont="1" applyFill="1" applyBorder="1" applyAlignment="1">
      <alignment horizontal="center"/>
    </xf>
    <xf numFmtId="0" fontId="32" fillId="5" borderId="21" xfId="28" applyFont="1" applyFill="1" applyBorder="1" applyAlignment="1">
      <alignment horizontal="center"/>
    </xf>
    <xf numFmtId="0" fontId="32" fillId="5" borderId="7" xfId="28" applyFont="1" applyFill="1" applyBorder="1" applyAlignment="1">
      <alignment horizontal="center"/>
    </xf>
    <xf numFmtId="0" fontId="15" fillId="5" borderId="15" xfId="0" applyFont="1" applyFill="1" applyBorder="1" applyAlignment="1">
      <alignment horizontal="center" vertical="center"/>
    </xf>
    <xf numFmtId="0" fontId="15" fillId="5" borderId="17" xfId="0" applyFont="1" applyFill="1" applyBorder="1" applyAlignment="1">
      <alignment horizontal="center" vertical="center"/>
    </xf>
    <xf numFmtId="0" fontId="16" fillId="7" borderId="54" xfId="0" applyFont="1" applyFill="1" applyBorder="1" applyAlignment="1">
      <alignment horizontal="center"/>
    </xf>
    <xf numFmtId="0" fontId="16" fillId="7" borderId="55" xfId="0" applyFont="1" applyFill="1" applyBorder="1" applyAlignment="1">
      <alignment horizontal="center"/>
    </xf>
    <xf numFmtId="0" fontId="16" fillId="7" borderId="56" xfId="0" applyFont="1" applyFill="1" applyBorder="1" applyAlignment="1">
      <alignment horizontal="center"/>
    </xf>
    <xf numFmtId="0" fontId="16" fillId="7" borderId="50" xfId="0" applyFont="1" applyFill="1" applyBorder="1" applyAlignment="1">
      <alignment horizontal="center"/>
    </xf>
    <xf numFmtId="0" fontId="16" fillId="7" borderId="62" xfId="0" applyFont="1" applyFill="1" applyBorder="1" applyAlignment="1">
      <alignment horizontal="center"/>
    </xf>
    <xf numFmtId="0" fontId="16" fillId="7" borderId="63" xfId="0" applyFont="1" applyFill="1" applyBorder="1" applyAlignment="1">
      <alignment horizontal="center"/>
    </xf>
    <xf numFmtId="0" fontId="16" fillId="6" borderId="26" xfId="0" applyFont="1" applyFill="1" applyBorder="1" applyAlignment="1">
      <alignment horizontal="left"/>
    </xf>
    <xf numFmtId="0" fontId="16" fillId="6" borderId="30" xfId="0" applyFont="1" applyFill="1" applyBorder="1" applyAlignment="1">
      <alignment horizontal="left"/>
    </xf>
    <xf numFmtId="0" fontId="16" fillId="6" borderId="27" xfId="0" applyFont="1" applyFill="1" applyBorder="1" applyAlignment="1">
      <alignment horizontal="left"/>
    </xf>
    <xf numFmtId="0" fontId="16" fillId="7" borderId="10" xfId="0" applyFont="1" applyFill="1" applyBorder="1" applyAlignment="1">
      <alignment horizontal="center"/>
    </xf>
    <xf numFmtId="0" fontId="16" fillId="7" borderId="6" xfId="0" applyFont="1" applyFill="1" applyBorder="1" applyAlignment="1">
      <alignment horizontal="center"/>
    </xf>
    <xf numFmtId="0" fontId="16" fillId="7" borderId="11" xfId="0" applyFont="1" applyFill="1" applyBorder="1" applyAlignment="1">
      <alignment horizontal="center"/>
    </xf>
    <xf numFmtId="0" fontId="16" fillId="7" borderId="13" xfId="0" applyFont="1" applyFill="1" applyBorder="1" applyAlignment="1">
      <alignment horizontal="center"/>
    </xf>
    <xf numFmtId="0" fontId="16" fillId="7" borderId="3" xfId="0" applyFont="1" applyFill="1" applyBorder="1" applyAlignment="1">
      <alignment horizontal="center"/>
    </xf>
    <xf numFmtId="0" fontId="16" fillId="7" borderId="14" xfId="0" applyFont="1" applyFill="1" applyBorder="1" applyAlignment="1">
      <alignment horizontal="center"/>
    </xf>
    <xf numFmtId="0" fontId="16" fillId="7" borderId="54" xfId="0" applyFont="1" applyFill="1" applyBorder="1" applyAlignment="1">
      <alignment horizontal="center" wrapText="1"/>
    </xf>
    <xf numFmtId="0" fontId="16" fillId="7" borderId="56" xfId="0" applyFont="1" applyFill="1" applyBorder="1" applyAlignment="1">
      <alignment horizontal="center" wrapText="1"/>
    </xf>
    <xf numFmtId="0" fontId="9" fillId="4" borderId="0" xfId="19" applyFont="1" applyFill="1" applyAlignment="1" applyProtection="1">
      <alignment horizontal="left"/>
      <protection hidden="1"/>
    </xf>
    <xf numFmtId="14" fontId="9" fillId="4" borderId="0" xfId="19" applyNumberFormat="1" applyFont="1" applyFill="1" applyAlignment="1" applyProtection="1">
      <alignment horizontal="left"/>
      <protection hidden="1"/>
    </xf>
    <xf numFmtId="2" fontId="21" fillId="4" borderId="0" xfId="24" applyNumberFormat="1" applyFont="1" applyFill="1" applyAlignment="1" applyProtection="1">
      <alignment horizontal="center"/>
      <protection hidden="1"/>
    </xf>
    <xf numFmtId="2" fontId="21" fillId="4" borderId="2" xfId="24" applyNumberFormat="1" applyFont="1" applyFill="1" applyBorder="1" applyAlignment="1" applyProtection="1">
      <alignment horizontal="center"/>
      <protection hidden="1"/>
    </xf>
    <xf numFmtId="0" fontId="5" fillId="4" borderId="0" xfId="21" applyFont="1" applyFill="1" applyAlignment="1">
      <alignment vertical="center" wrapText="1"/>
    </xf>
  </cellXfs>
  <cellStyles count="29">
    <cellStyle name="Dezimal 2" xfId="2" xr:uid="{00000000-0005-0000-0000-000000000000}"/>
    <cellStyle name="Dezimal 2 2" xfId="3" xr:uid="{00000000-0005-0000-0000-000001000000}"/>
    <cellStyle name="Dezimal 3" xfId="4" xr:uid="{00000000-0005-0000-0000-000002000000}"/>
    <cellStyle name="Dezimal 3 2" xfId="5" xr:uid="{00000000-0005-0000-0000-000003000000}"/>
    <cellStyle name="Euro" xfId="6" xr:uid="{00000000-0005-0000-0000-000004000000}"/>
    <cellStyle name="Hyperlink 2" xfId="26" xr:uid="{00000000-0005-0000-0000-000005000000}"/>
    <cellStyle name="Komma" xfId="27" builtinId="3"/>
    <cellStyle name="Link" xfId="23" builtinId="8"/>
    <cellStyle name="Prozent 2" xfId="8" xr:uid="{00000000-0005-0000-0000-000007000000}"/>
    <cellStyle name="Prozent 2 2" xfId="9" xr:uid="{00000000-0005-0000-0000-000008000000}"/>
    <cellStyle name="Prozent 2 3" xfId="20" xr:uid="{00000000-0005-0000-0000-000009000000}"/>
    <cellStyle name="Prozent 3" xfId="10" xr:uid="{00000000-0005-0000-0000-00000A000000}"/>
    <cellStyle name="Prozent 3 2" xfId="11" xr:uid="{00000000-0005-0000-0000-00000B000000}"/>
    <cellStyle name="Prozent 4" xfId="12" xr:uid="{00000000-0005-0000-0000-00000C000000}"/>
    <cellStyle name="Prozent 5" xfId="7" xr:uid="{00000000-0005-0000-0000-00000D000000}"/>
    <cellStyle name="Prozent 6" xfId="22" xr:uid="{00000000-0005-0000-0000-00000E000000}"/>
    <cellStyle name="Prozent 7" xfId="25" xr:uid="{00000000-0005-0000-0000-00000F000000}"/>
    <cellStyle name="Standard" xfId="0" builtinId="0"/>
    <cellStyle name="Standard 2" xfId="13" xr:uid="{00000000-0005-0000-0000-000011000000}"/>
    <cellStyle name="Standard 2 2" xfId="14" xr:uid="{00000000-0005-0000-0000-000012000000}"/>
    <cellStyle name="Standard 2 3" xfId="15" xr:uid="{00000000-0005-0000-0000-000013000000}"/>
    <cellStyle name="Standard 2 4" xfId="19" xr:uid="{00000000-0005-0000-0000-000014000000}"/>
    <cellStyle name="Standard 3" xfId="16" xr:uid="{00000000-0005-0000-0000-000015000000}"/>
    <cellStyle name="Standard 4" xfId="1" xr:uid="{00000000-0005-0000-0000-000016000000}"/>
    <cellStyle name="Standard 5" xfId="21" xr:uid="{00000000-0005-0000-0000-000017000000}"/>
    <cellStyle name="Standard 6" xfId="24" xr:uid="{00000000-0005-0000-0000-000018000000}"/>
    <cellStyle name="Standard 7" xfId="28" xr:uid="{1BC0327A-34BC-40F7-B5B5-FCF58D7F5EF8}"/>
    <cellStyle name="Währung 2" xfId="17" xr:uid="{00000000-0005-0000-0000-000019000000}"/>
    <cellStyle name="Währung 3" xfId="18" xr:uid="{00000000-0005-0000-0000-00001A000000}"/>
  </cellStyles>
  <dxfs count="22">
    <dxf>
      <font>
        <color theme="0"/>
      </font>
    </dxf>
    <dxf>
      <font>
        <color theme="0" tint="-4.9989318521683403E-2"/>
      </font>
    </dxf>
    <dxf>
      <font>
        <color theme="0" tint="-4.9989318521683403E-2"/>
      </font>
    </dxf>
    <dxf>
      <font>
        <strike/>
      </font>
    </dxf>
    <dxf>
      <font>
        <strike/>
      </font>
      <fill>
        <patternFill>
          <bgColor theme="0" tint="-4.9989318521683403E-2"/>
        </patternFill>
      </fill>
    </dxf>
    <dxf>
      <font>
        <color theme="0" tint="-4.9989318521683403E-2"/>
      </font>
      <fill>
        <patternFill>
          <bgColor theme="0" tint="-4.9989318521683403E-2"/>
        </patternFill>
      </fill>
    </dxf>
    <dxf>
      <font>
        <color theme="0" tint="-4.9989318521683403E-2"/>
      </font>
    </dxf>
    <dxf>
      <font>
        <b/>
        <i val="0"/>
        <color rgb="FFFF0000"/>
      </font>
    </dxf>
    <dxf>
      <font>
        <color rgb="FFFF0000"/>
      </font>
    </dxf>
    <dxf>
      <font>
        <color theme="0"/>
      </font>
    </dxf>
    <dxf>
      <font>
        <color theme="0" tint="-4.9989318521683403E-2"/>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rgb="FFFF0000"/>
      </font>
    </dxf>
    <dxf>
      <font>
        <color theme="0" tint="-4.9989318521683403E-2"/>
      </font>
    </dxf>
    <dxf>
      <font>
        <color theme="0" tint="-4.9989318521683403E-2"/>
      </font>
    </dxf>
  </dxfs>
  <tableStyles count="0" defaultTableStyle="TableStyleMedium2" defaultPivotStyle="PivotStyleLight16"/>
  <colors>
    <mruColors>
      <color rgb="FFDE9F00"/>
      <color rgb="FF00437B"/>
      <color rgb="FF006AB3"/>
      <color rgb="FFF9B2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Podest!A1"/><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1.png"/><Relationship Id="rId2" Type="http://schemas.openxmlformats.org/officeDocument/2006/relationships/image" Target="../media/image2.png"/><Relationship Id="rId16" Type="http://schemas.openxmlformats.org/officeDocument/2006/relationships/image" Target="../media/image14.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hyperlink" Target="#Treppenlauf!A1"/><Relationship Id="rId5" Type="http://schemas.openxmlformats.org/officeDocument/2006/relationships/image" Target="../media/image5.png"/><Relationship Id="rId15" Type="http://schemas.openxmlformats.org/officeDocument/2006/relationships/image" Target="../media/image13.emf"/><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image" Target="../media/image12.pn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2" Type="http://schemas.openxmlformats.org/officeDocument/2006/relationships/image" Target="../media/image20.png"/><Relationship Id="rId16" Type="http://schemas.openxmlformats.org/officeDocument/2006/relationships/image" Target="../media/image34.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s>
</file>

<file path=xl/drawings/_rels/drawing3.xml.rels><?xml version="1.0" encoding="UTF-8" standalone="yes"?>
<Relationships xmlns="http://schemas.openxmlformats.org/package/2006/relationships"><Relationship Id="rId3" Type="http://schemas.openxmlformats.org/officeDocument/2006/relationships/hyperlink" Target="#'SPOCZNIK - DANE'!D5"/><Relationship Id="rId2" Type="http://schemas.openxmlformats.org/officeDocument/2006/relationships/image" Target="../media/image14.emf"/><Relationship Id="rId1" Type="http://schemas.openxmlformats.org/officeDocument/2006/relationships/hyperlink" Target="#'BIEG - DANE'!D5"/><Relationship Id="rId6" Type="http://schemas.openxmlformats.org/officeDocument/2006/relationships/image" Target="../media/image35.png"/><Relationship Id="rId5" Type="http://schemas.openxmlformats.org/officeDocument/2006/relationships/hyperlink" Target="https://www.schoeck.com/" TargetMode="External"/><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hyperlink" Target="#'BIEG - WYNIKI OBLICZEN'!A1"/><Relationship Id="rId3" Type="http://schemas.openxmlformats.org/officeDocument/2006/relationships/image" Target="../media/image36.png"/><Relationship Id="rId7" Type="http://schemas.openxmlformats.org/officeDocument/2006/relationships/image" Target="../media/image35.png"/><Relationship Id="rId2" Type="http://schemas.openxmlformats.org/officeDocument/2006/relationships/hyperlink" Target="#PRZEGLAD!D3"/><Relationship Id="rId1" Type="http://schemas.openxmlformats.org/officeDocument/2006/relationships/image" Target="../media/image6.emf"/><Relationship Id="rId6" Type="http://schemas.openxmlformats.org/officeDocument/2006/relationships/hyperlink" Target="https://www.schoeck.com/" TargetMode="External"/><Relationship Id="rId11" Type="http://schemas.openxmlformats.org/officeDocument/2006/relationships/image" Target="../media/image41.png"/><Relationship Id="rId5" Type="http://schemas.openxmlformats.org/officeDocument/2006/relationships/image" Target="../media/image38.emf"/><Relationship Id="rId10" Type="http://schemas.openxmlformats.org/officeDocument/2006/relationships/image" Target="../media/image40.svg"/><Relationship Id="rId4" Type="http://schemas.openxmlformats.org/officeDocument/2006/relationships/image" Target="../media/image37.svg"/><Relationship Id="rId9" Type="http://schemas.openxmlformats.org/officeDocument/2006/relationships/image" Target="../media/image39.png"/></Relationships>
</file>

<file path=xl/drawings/_rels/drawing5.xml.rels><?xml version="1.0" encoding="UTF-8" standalone="yes"?>
<Relationships xmlns="http://schemas.openxmlformats.org/package/2006/relationships"><Relationship Id="rId8" Type="http://schemas.openxmlformats.org/officeDocument/2006/relationships/image" Target="../media/image50.png"/><Relationship Id="rId13" Type="http://schemas.openxmlformats.org/officeDocument/2006/relationships/hyperlink" Target="https://www.schoeck.com/" TargetMode="External"/><Relationship Id="rId3" Type="http://schemas.openxmlformats.org/officeDocument/2006/relationships/image" Target="../media/image1.png"/><Relationship Id="rId7" Type="http://schemas.openxmlformats.org/officeDocument/2006/relationships/image" Target="../media/image49.png"/><Relationship Id="rId12" Type="http://schemas.openxmlformats.org/officeDocument/2006/relationships/image" Target="../media/image6.emf"/><Relationship Id="rId2" Type="http://schemas.openxmlformats.org/officeDocument/2006/relationships/image" Target="../media/image45.png"/><Relationship Id="rId16" Type="http://schemas.openxmlformats.org/officeDocument/2006/relationships/image" Target="../media/image41.png"/><Relationship Id="rId1" Type="http://schemas.openxmlformats.org/officeDocument/2006/relationships/image" Target="../media/image44.png"/><Relationship Id="rId6" Type="http://schemas.openxmlformats.org/officeDocument/2006/relationships/image" Target="../media/image48.png"/><Relationship Id="rId11" Type="http://schemas.openxmlformats.org/officeDocument/2006/relationships/image" Target="../media/image51.svg"/><Relationship Id="rId5" Type="http://schemas.openxmlformats.org/officeDocument/2006/relationships/image" Target="../media/image47.png"/><Relationship Id="rId15" Type="http://schemas.openxmlformats.org/officeDocument/2006/relationships/image" Target="../media/image52.emf"/><Relationship Id="rId10" Type="http://schemas.openxmlformats.org/officeDocument/2006/relationships/image" Target="../media/image36.png"/><Relationship Id="rId4" Type="http://schemas.openxmlformats.org/officeDocument/2006/relationships/image" Target="../media/image46.png"/><Relationship Id="rId9" Type="http://schemas.openxmlformats.org/officeDocument/2006/relationships/hyperlink" Target="#'BIEG - DANE'!D5"/><Relationship Id="rId14" Type="http://schemas.openxmlformats.org/officeDocument/2006/relationships/image" Target="../media/image35.png"/></Relationships>
</file>

<file path=xl/drawings/_rels/drawing6.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59.emf"/><Relationship Id="rId3" Type="http://schemas.openxmlformats.org/officeDocument/2006/relationships/hyperlink" Target="#PRZEGLAD!D3"/><Relationship Id="rId7" Type="http://schemas.openxmlformats.org/officeDocument/2006/relationships/hyperlink" Target="https://www.schoeck.com/" TargetMode="External"/><Relationship Id="rId12" Type="http://schemas.openxmlformats.org/officeDocument/2006/relationships/image" Target="../media/image41.png"/><Relationship Id="rId2" Type="http://schemas.openxmlformats.org/officeDocument/2006/relationships/image" Target="../media/image56.emf"/><Relationship Id="rId1" Type="http://schemas.openxmlformats.org/officeDocument/2006/relationships/image" Target="../media/image55.emf"/><Relationship Id="rId6" Type="http://schemas.openxmlformats.org/officeDocument/2006/relationships/image" Target="../media/image58.emf"/><Relationship Id="rId11" Type="http://schemas.openxmlformats.org/officeDocument/2006/relationships/image" Target="../media/image40.svg"/><Relationship Id="rId5" Type="http://schemas.openxmlformats.org/officeDocument/2006/relationships/image" Target="../media/image57.svg"/><Relationship Id="rId10" Type="http://schemas.openxmlformats.org/officeDocument/2006/relationships/image" Target="../media/image39.png"/><Relationship Id="rId4" Type="http://schemas.openxmlformats.org/officeDocument/2006/relationships/image" Target="../media/image36.png"/><Relationship Id="rId9" Type="http://schemas.openxmlformats.org/officeDocument/2006/relationships/hyperlink" Target="#'SPOCZNIK - WYNIKI OBLICZEN'!A1"/></Relationships>
</file>

<file path=xl/drawings/_rels/drawing7.xml.rels><?xml version="1.0" encoding="UTF-8" standalone="yes"?>
<Relationships xmlns="http://schemas.openxmlformats.org/package/2006/relationships"><Relationship Id="rId8" Type="http://schemas.openxmlformats.org/officeDocument/2006/relationships/image" Target="../media/image50.png"/><Relationship Id="rId13" Type="http://schemas.openxmlformats.org/officeDocument/2006/relationships/hyperlink" Target="https://www.schoeck.com/" TargetMode="External"/><Relationship Id="rId18" Type="http://schemas.openxmlformats.org/officeDocument/2006/relationships/image" Target="../media/image58.emf"/><Relationship Id="rId3" Type="http://schemas.openxmlformats.org/officeDocument/2006/relationships/image" Target="../media/image1.png"/><Relationship Id="rId7" Type="http://schemas.openxmlformats.org/officeDocument/2006/relationships/image" Target="../media/image49.png"/><Relationship Id="rId12" Type="http://schemas.openxmlformats.org/officeDocument/2006/relationships/image" Target="../media/image51.svg"/><Relationship Id="rId17" Type="http://schemas.openxmlformats.org/officeDocument/2006/relationships/image" Target="../media/image59.emf"/><Relationship Id="rId2" Type="http://schemas.openxmlformats.org/officeDocument/2006/relationships/image" Target="../media/image45.png"/><Relationship Id="rId16" Type="http://schemas.openxmlformats.org/officeDocument/2006/relationships/image" Target="../media/image41.png"/><Relationship Id="rId1" Type="http://schemas.openxmlformats.org/officeDocument/2006/relationships/image" Target="../media/image55.emf"/><Relationship Id="rId6" Type="http://schemas.openxmlformats.org/officeDocument/2006/relationships/image" Target="../media/image48.png"/><Relationship Id="rId11" Type="http://schemas.openxmlformats.org/officeDocument/2006/relationships/image" Target="../media/image36.png"/><Relationship Id="rId5" Type="http://schemas.openxmlformats.org/officeDocument/2006/relationships/image" Target="../media/image47.png"/><Relationship Id="rId15" Type="http://schemas.openxmlformats.org/officeDocument/2006/relationships/image" Target="../media/image67.emf"/><Relationship Id="rId10" Type="http://schemas.openxmlformats.org/officeDocument/2006/relationships/hyperlink" Target="#'SPOCZNIK - DANE'!D5"/><Relationship Id="rId4" Type="http://schemas.openxmlformats.org/officeDocument/2006/relationships/image" Target="../media/image46.png"/><Relationship Id="rId9" Type="http://schemas.openxmlformats.org/officeDocument/2006/relationships/image" Target="../media/image66.png"/><Relationship Id="rId14"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15.emf"/><Relationship Id="rId1" Type="http://schemas.openxmlformats.org/officeDocument/2006/relationships/image" Target="../media/image42.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54.png"/><Relationship Id="rId1" Type="http://schemas.openxmlformats.org/officeDocument/2006/relationships/image" Target="../media/image53.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emf"/><Relationship Id="rId1" Type="http://schemas.openxmlformats.org/officeDocument/2006/relationships/image" Target="../media/image60.png"/><Relationship Id="rId6" Type="http://schemas.openxmlformats.org/officeDocument/2006/relationships/image" Target="../media/image65.emf"/><Relationship Id="rId5" Type="http://schemas.openxmlformats.org/officeDocument/2006/relationships/image" Target="../media/image64.emf"/><Relationship Id="rId4" Type="http://schemas.openxmlformats.org/officeDocument/2006/relationships/image" Target="../media/image6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70.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65.emf"/><Relationship Id="rId5" Type="http://schemas.openxmlformats.org/officeDocument/2006/relationships/image" Target="../media/image64.emf"/><Relationship Id="rId4" Type="http://schemas.openxmlformats.org/officeDocument/2006/relationships/image" Target="../media/image63.emf"/></Relationships>
</file>

<file path=xl/drawings/drawing1.xml><?xml version="1.0" encoding="utf-8"?>
<xdr:wsDr xmlns:xdr="http://schemas.openxmlformats.org/drawingml/2006/spreadsheetDrawing" xmlns:a="http://schemas.openxmlformats.org/drawingml/2006/main">
  <xdr:twoCellAnchor editAs="oneCell">
    <xdr:from>
      <xdr:col>3</xdr:col>
      <xdr:colOff>27214</xdr:colOff>
      <xdr:row>4</xdr:row>
      <xdr:rowOff>0</xdr:rowOff>
    </xdr:from>
    <xdr:to>
      <xdr:col>3</xdr:col>
      <xdr:colOff>2542414</xdr:colOff>
      <xdr:row>4</xdr:row>
      <xdr:rowOff>1414800</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313214" y="2204357"/>
          <a:ext cx="2515200" cy="1414800"/>
        </a:xfrm>
        <a:prstGeom prst="rect">
          <a:avLst/>
        </a:prstGeom>
      </xdr:spPr>
    </xdr:pic>
    <xdr:clientData/>
  </xdr:twoCellAnchor>
  <xdr:twoCellAnchor editAs="oneCell">
    <xdr:from>
      <xdr:col>3</xdr:col>
      <xdr:colOff>27212</xdr:colOff>
      <xdr:row>6</xdr:row>
      <xdr:rowOff>0</xdr:rowOff>
    </xdr:from>
    <xdr:to>
      <xdr:col>3</xdr:col>
      <xdr:colOff>2547212</xdr:colOff>
      <xdr:row>6</xdr:row>
      <xdr:rowOff>1414318</xdr:rowOff>
    </xdr:to>
    <xdr:pic>
      <xdr:nvPicPr>
        <xdr:cNvPr id="5" name="Grafik 4" descr="Tronsole® Typ Q: Trittschalldämmung gewendelter Lauf ">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3212" y="5252357"/>
          <a:ext cx="2520000" cy="1414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27213</xdr:colOff>
      <xdr:row>2</xdr:row>
      <xdr:rowOff>299356</xdr:rowOff>
    </xdr:from>
    <xdr:to>
      <xdr:col>3</xdr:col>
      <xdr:colOff>2547213</xdr:colOff>
      <xdr:row>3</xdr:row>
      <xdr:rowOff>1414668</xdr:rowOff>
    </xdr:to>
    <xdr:pic>
      <xdr:nvPicPr>
        <xdr:cNvPr id="6" name="Grafik 5" descr="Schöck Tronsole® Typ B und D">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13213" y="680356"/>
          <a:ext cx="2520000" cy="1414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27213</xdr:colOff>
      <xdr:row>7</xdr:row>
      <xdr:rowOff>1523999</xdr:rowOff>
    </xdr:from>
    <xdr:to>
      <xdr:col>3</xdr:col>
      <xdr:colOff>2547213</xdr:colOff>
      <xdr:row>8</xdr:row>
      <xdr:rowOff>1414668</xdr:rowOff>
    </xdr:to>
    <xdr:pic>
      <xdr:nvPicPr>
        <xdr:cNvPr id="8" name="Grafik 7" descr="Tronsole® Typ Z: Trittschalldämmung Podest und Wand">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3213" y="8300356"/>
          <a:ext cx="2520000" cy="1414669"/>
        </a:xfrm>
        <a:prstGeom prst="rect">
          <a:avLst/>
        </a:prstGeom>
        <a:noFill/>
      </xdr:spPr>
    </xdr:pic>
    <xdr:clientData/>
  </xdr:twoCellAnchor>
  <xdr:twoCellAnchor editAs="oneCell">
    <xdr:from>
      <xdr:col>3</xdr:col>
      <xdr:colOff>27214</xdr:colOff>
      <xdr:row>7</xdr:row>
      <xdr:rowOff>0</xdr:rowOff>
    </xdr:from>
    <xdr:to>
      <xdr:col>3</xdr:col>
      <xdr:colOff>2547214</xdr:colOff>
      <xdr:row>7</xdr:row>
      <xdr:rowOff>1414669</xdr:rowOff>
    </xdr:to>
    <xdr:pic>
      <xdr:nvPicPr>
        <xdr:cNvPr id="10" name="Grafik 9" descr="Tronsole® Typ P: Trittschalldämmung Podest und Wand">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13214" y="6776357"/>
          <a:ext cx="2520000" cy="1414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0</xdr:colOff>
          <xdr:row>3</xdr:row>
          <xdr:rowOff>0</xdr:rowOff>
        </xdr:from>
        <xdr:to>
          <xdr:col>6</xdr:col>
          <xdr:colOff>2334948</xdr:colOff>
          <xdr:row>3</xdr:row>
          <xdr:rowOff>1290877</xdr:rowOff>
        </xdr:to>
        <xdr:pic>
          <xdr:nvPicPr>
            <xdr:cNvPr id="16" name="Grafik 15">
              <a:extLst>
                <a:ext uri="{FF2B5EF4-FFF2-40B4-BE49-F238E27FC236}">
                  <a16:creationId xmlns:a16="http://schemas.microsoft.com/office/drawing/2014/main" id="{00000000-0008-0000-0000-000010000000}"/>
                </a:ext>
              </a:extLst>
            </xdr:cNvPr>
            <xdr:cNvPicPr>
              <a:picLocks noChangeArrowheads="1"/>
              <a:extLst>
                <a:ext uri="{84589F7E-364E-4C9E-8A38-B11213B215E9}">
                  <a14:cameraTool cellRange="bild1" spid="_x0000_s117334"/>
                </a:ext>
              </a:extLst>
            </xdr:cNvPicPr>
          </xdr:nvPicPr>
          <xdr:blipFill>
            <a:blip xmlns:r="http://schemas.openxmlformats.org/officeDocument/2006/relationships" r:embed="rId6"/>
            <a:srcRect/>
            <a:stretch>
              <a:fillRect/>
            </a:stretch>
          </xdr:blipFill>
          <xdr:spPr bwMode="auto">
            <a:xfrm>
              <a:off x="6632864" y="2008909"/>
              <a:ext cx="2334948" cy="1290877"/>
            </a:xfrm>
            <a:prstGeom prst="rect">
              <a:avLst/>
            </a:prstGeom>
            <a:noFill/>
            <a:ln>
              <a:solidFill>
                <a:schemeClr val="bg1"/>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xdr:row>
          <xdr:rowOff>285750</xdr:rowOff>
        </xdr:from>
        <xdr:to>
          <xdr:col>7</xdr:col>
          <xdr:colOff>2520000</xdr:colOff>
          <xdr:row>3</xdr:row>
          <xdr:rowOff>1401193</xdr:rowOff>
        </xdr:to>
        <xdr:pic>
          <xdr:nvPicPr>
            <xdr:cNvPr id="17" name="Grafik 16">
              <a:extLst>
                <a:ext uri="{FF2B5EF4-FFF2-40B4-BE49-F238E27FC236}">
                  <a16:creationId xmlns:a16="http://schemas.microsoft.com/office/drawing/2014/main" id="{00000000-0008-0000-0000-000011000000}"/>
                </a:ext>
              </a:extLst>
            </xdr:cNvPr>
            <xdr:cNvPicPr>
              <a:picLocks noChangeArrowheads="1"/>
              <a:extLst>
                <a:ext uri="{84589F7E-364E-4C9E-8A38-B11213B215E9}">
                  <a14:cameraTool cellRange="bild2" spid="_x0000_s117335"/>
                </a:ext>
              </a:extLst>
            </xdr:cNvPicPr>
          </xdr:nvPicPr>
          <xdr:blipFill>
            <a:blip xmlns:r="http://schemas.openxmlformats.org/officeDocument/2006/relationships" r:embed="rId6"/>
            <a:srcRect/>
            <a:stretch>
              <a:fillRect/>
            </a:stretch>
          </xdr:blipFill>
          <xdr:spPr bwMode="auto">
            <a:xfrm>
              <a:off x="9252857" y="2000250"/>
              <a:ext cx="2520000" cy="1414800"/>
            </a:xfrm>
            <a:prstGeom prst="rect">
              <a:avLst/>
            </a:prstGeom>
            <a:noFill/>
            <a:ln>
              <a:solidFill>
                <a:schemeClr val="bg1"/>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oneCellAnchor>
        <xdr:from>
          <xdr:col>8</xdr:col>
          <xdr:colOff>0</xdr:colOff>
          <xdr:row>3</xdr:row>
          <xdr:rowOff>0</xdr:rowOff>
        </xdr:from>
        <xdr:ext cx="2520000" cy="1414800"/>
        <xdr:pic>
          <xdr:nvPicPr>
            <xdr:cNvPr id="18" name="Grafik 17">
              <a:extLst>
                <a:ext uri="{FF2B5EF4-FFF2-40B4-BE49-F238E27FC236}">
                  <a16:creationId xmlns:a16="http://schemas.microsoft.com/office/drawing/2014/main" id="{00000000-0008-0000-0000-000012000000}"/>
                </a:ext>
              </a:extLst>
            </xdr:cNvPr>
            <xdr:cNvPicPr>
              <a:picLocks noChangeArrowheads="1"/>
              <a:extLst>
                <a:ext uri="{84589F7E-364E-4C9E-8A38-B11213B215E9}">
                  <a14:cameraTool cellRange="bild3" spid="_x0000_s117336"/>
                </a:ext>
              </a:extLst>
            </xdr:cNvPicPr>
          </xdr:nvPicPr>
          <xdr:blipFill>
            <a:blip xmlns:r="http://schemas.openxmlformats.org/officeDocument/2006/relationships" r:embed="rId7"/>
            <a:srcRect/>
            <a:stretch>
              <a:fillRect/>
            </a:stretch>
          </xdr:blipFill>
          <xdr:spPr bwMode="auto">
            <a:xfrm>
              <a:off x="11974286" y="680357"/>
              <a:ext cx="2520000" cy="1414800"/>
            </a:xfrm>
            <a:prstGeom prst="rect">
              <a:avLst/>
            </a:prstGeom>
            <a:noFill/>
            <a:ln>
              <a:solidFill>
                <a:schemeClr val="bg1"/>
              </a:solidFill>
            </a:ln>
          </xdr:spPr>
        </xdr:pic>
        <xdr:clientData/>
      </xdr:oneCellAnchor>
    </mc:Choice>
    <mc:Fallback/>
  </mc:AlternateContent>
  <xdr:twoCellAnchor editAs="oneCell">
    <xdr:from>
      <xdr:col>3</xdr:col>
      <xdr:colOff>625925</xdr:colOff>
      <xdr:row>0</xdr:row>
      <xdr:rowOff>0</xdr:rowOff>
    </xdr:from>
    <xdr:to>
      <xdr:col>3</xdr:col>
      <xdr:colOff>2136318</xdr:colOff>
      <xdr:row>0</xdr:row>
      <xdr:rowOff>1510392</xdr:rowOff>
    </xdr:to>
    <xdr:pic>
      <xdr:nvPicPr>
        <xdr:cNvPr id="24" name="Grafik 23" descr="Kamera Silhouette">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911925" y="0"/>
          <a:ext cx="1510393" cy="1510392"/>
        </a:xfrm>
        <a:prstGeom prst="rect">
          <a:avLst/>
        </a:prstGeom>
      </xdr:spPr>
    </xdr:pic>
    <xdr:clientData/>
  </xdr:twoCellAnchor>
  <xdr:twoCellAnchor editAs="oneCell">
    <xdr:from>
      <xdr:col>3</xdr:col>
      <xdr:colOff>0</xdr:colOff>
      <xdr:row>5</xdr:row>
      <xdr:rowOff>0</xdr:rowOff>
    </xdr:from>
    <xdr:to>
      <xdr:col>3</xdr:col>
      <xdr:colOff>2520000</xdr:colOff>
      <xdr:row>5</xdr:row>
      <xdr:rowOff>1415698</xdr:rowOff>
    </xdr:to>
    <xdr:pic>
      <xdr:nvPicPr>
        <xdr:cNvPr id="2" name="Grafik 1" descr="Tronsole® Typ T: Trittschalldämmung Treppenlauf Podest">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286000" y="5061857"/>
          <a:ext cx="2520000" cy="1415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9</xdr:row>
      <xdr:rowOff>146830</xdr:rowOff>
    </xdr:from>
    <xdr:to>
      <xdr:col>4</xdr:col>
      <xdr:colOff>17317</xdr:colOff>
      <xdr:row>10</xdr:row>
      <xdr:rowOff>223050</xdr:rowOff>
    </xdr:to>
    <xdr:pic>
      <xdr:nvPicPr>
        <xdr:cNvPr id="4" name="BildLauf">
          <a:hlinkClick xmlns:r="http://schemas.openxmlformats.org/officeDocument/2006/relationships" r:id="rId11"/>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1400" t="8290" r="10880" b="23684"/>
        <a:stretch/>
      </xdr:blipFill>
      <xdr:spPr>
        <a:xfrm>
          <a:off x="2389909" y="11299739"/>
          <a:ext cx="2736272" cy="2379538"/>
        </a:xfrm>
        <a:prstGeom prst="rect">
          <a:avLst/>
        </a:prstGeom>
        <a:ln w="12700">
          <a:noFill/>
        </a:ln>
      </xdr:spPr>
    </xdr:pic>
    <xdr:clientData/>
  </xdr:twoCellAnchor>
  <xdr:twoCellAnchor editAs="oneCell">
    <xdr:from>
      <xdr:col>3</xdr:col>
      <xdr:colOff>17318</xdr:colOff>
      <xdr:row>9</xdr:row>
      <xdr:rowOff>2234044</xdr:rowOff>
    </xdr:from>
    <xdr:to>
      <xdr:col>4</xdr:col>
      <xdr:colOff>28297</xdr:colOff>
      <xdr:row>10</xdr:row>
      <xdr:rowOff>2320635</xdr:rowOff>
    </xdr:to>
    <xdr:pic>
      <xdr:nvPicPr>
        <xdr:cNvPr id="7" name="Grafik 6">
          <a:hlinkClick xmlns:r="http://schemas.openxmlformats.org/officeDocument/2006/relationships" r:id="rId13"/>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407227" y="13386953"/>
          <a:ext cx="2729934" cy="2389909"/>
        </a:xfrm>
        <a:prstGeom prst="rect">
          <a:avLst/>
        </a:prstGeom>
        <a:ln w="12700">
          <a:noFill/>
        </a:ln>
      </xdr:spPr>
    </xdr:pic>
    <xdr:clientData/>
  </xdr:twoCellAnchor>
  <mc:AlternateContent xmlns:mc="http://schemas.openxmlformats.org/markup-compatibility/2006">
    <mc:Choice xmlns:a14="http://schemas.microsoft.com/office/drawing/2010/main" Requires="a14">
      <xdr:twoCellAnchor editAs="oneCell">
        <xdr:from>
          <xdr:col>10</xdr:col>
          <xdr:colOff>1</xdr:colOff>
          <xdr:row>3</xdr:row>
          <xdr:rowOff>0</xdr:rowOff>
        </xdr:from>
        <xdr:to>
          <xdr:col>11</xdr:col>
          <xdr:colOff>20310</xdr:colOff>
          <xdr:row>4</xdr:row>
          <xdr:rowOff>103909</xdr:rowOff>
        </xdr:to>
        <xdr:pic>
          <xdr:nvPicPr>
            <xdr:cNvPr id="11" name="Grafik 10">
              <a:hlinkClick xmlns:r="http://schemas.openxmlformats.org/officeDocument/2006/relationships" r:id="rId13"/>
              <a:extLst>
                <a:ext uri="{FF2B5EF4-FFF2-40B4-BE49-F238E27FC236}">
                  <a16:creationId xmlns:a16="http://schemas.microsoft.com/office/drawing/2014/main" id="{00000000-0008-0000-0000-00000B000000}"/>
                </a:ext>
              </a:extLst>
            </xdr:cNvPr>
            <xdr:cNvPicPr preferRelativeResize="0">
              <a:picLocks noChangeAspect="1"/>
              <a:extLst>
                <a:ext uri="{84589F7E-364E-4C9E-8A38-B11213B215E9}">
                  <a14:cameraTool cellRange="PodestBild" spid="_x0000_s117337"/>
                </a:ext>
              </a:extLst>
            </xdr:cNvPicPr>
          </xdr:nvPicPr>
          <xdr:blipFill>
            <a:blip xmlns:r="http://schemas.openxmlformats.org/officeDocument/2006/relationships" r:embed="rId15"/>
            <a:stretch>
              <a:fillRect/>
            </a:stretch>
          </xdr:blipFill>
          <xdr:spPr>
            <a:xfrm>
              <a:off x="16608137" y="2008909"/>
              <a:ext cx="1838718" cy="1627909"/>
            </a:xfrm>
            <a:prstGeom prst="rect">
              <a:avLst/>
            </a:prstGeom>
            <a:ln w="12700">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20309</xdr:colOff>
          <xdr:row>4</xdr:row>
          <xdr:rowOff>103909</xdr:rowOff>
        </xdr:to>
        <xdr:pic>
          <xdr:nvPicPr>
            <xdr:cNvPr id="12" name="Grafik 11">
              <a:hlinkClick xmlns:r="http://schemas.openxmlformats.org/officeDocument/2006/relationships" r:id="rId11"/>
              <a:extLst>
                <a:ext uri="{FF2B5EF4-FFF2-40B4-BE49-F238E27FC236}">
                  <a16:creationId xmlns:a16="http://schemas.microsoft.com/office/drawing/2014/main" id="{00000000-0008-0000-0000-00000C000000}"/>
                </a:ext>
              </a:extLst>
            </xdr:cNvPr>
            <xdr:cNvPicPr preferRelativeResize="0">
              <a:picLocks noChangeAspect="1"/>
              <a:extLst>
                <a:ext uri="{84589F7E-364E-4C9E-8A38-B11213B215E9}">
                  <a14:cameraTool cellRange="TreppenlaufBild" spid="_x0000_s117338"/>
                </a:ext>
              </a:extLst>
            </xdr:cNvPicPr>
          </xdr:nvPicPr>
          <xdr:blipFill>
            <a:blip xmlns:r="http://schemas.openxmlformats.org/officeDocument/2006/relationships" r:embed="rId16"/>
            <a:stretch>
              <a:fillRect/>
            </a:stretch>
          </xdr:blipFill>
          <xdr:spPr>
            <a:xfrm>
              <a:off x="14789727" y="2008909"/>
              <a:ext cx="1838718" cy="1627909"/>
            </a:xfrm>
            <a:prstGeom prst="rect">
              <a:avLst/>
            </a:prstGeom>
            <a:ln w="12700">
              <a:noFill/>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xdr:colOff>
      <xdr:row>1</xdr:row>
      <xdr:rowOff>0</xdr:rowOff>
    </xdr:from>
    <xdr:to>
      <xdr:col>4</xdr:col>
      <xdr:colOff>21678</xdr:colOff>
      <xdr:row>1</xdr:row>
      <xdr:rowOff>3960000</xdr:rowOff>
    </xdr:to>
    <xdr:pic>
      <xdr:nvPicPr>
        <xdr:cNvPr id="23" name="Grafik 22">
          <a:extLst>
            <a:ext uri="{FF2B5EF4-FFF2-40B4-BE49-F238E27FC236}">
              <a16:creationId xmlns:a16="http://schemas.microsoft.com/office/drawing/2014/main" id="{3CD016FD-E466-CDF6-1C7B-43276A6813B4}"/>
            </a:ext>
          </a:extLst>
        </xdr:cNvPr>
        <xdr:cNvPicPr>
          <a:picLocks noChangeAspect="1"/>
        </xdr:cNvPicPr>
      </xdr:nvPicPr>
      <xdr:blipFill>
        <a:blip xmlns:r="http://schemas.openxmlformats.org/officeDocument/2006/relationships" r:embed="rId1"/>
        <a:stretch>
          <a:fillRect/>
        </a:stretch>
      </xdr:blipFill>
      <xdr:spPr>
        <a:xfrm>
          <a:off x="13144501" y="190500"/>
          <a:ext cx="4403177" cy="3960000"/>
        </a:xfrm>
        <a:prstGeom prst="rect">
          <a:avLst/>
        </a:prstGeom>
      </xdr:spPr>
    </xdr:pic>
    <xdr:clientData/>
  </xdr:twoCellAnchor>
  <xdr:twoCellAnchor editAs="oneCell">
    <xdr:from>
      <xdr:col>4</xdr:col>
      <xdr:colOff>0</xdr:colOff>
      <xdr:row>1</xdr:row>
      <xdr:rowOff>0</xdr:rowOff>
    </xdr:from>
    <xdr:to>
      <xdr:col>5</xdr:col>
      <xdr:colOff>19032</xdr:colOff>
      <xdr:row>1</xdr:row>
      <xdr:rowOff>3960000</xdr:rowOff>
    </xdr:to>
    <xdr:pic>
      <xdr:nvPicPr>
        <xdr:cNvPr id="24" name="Grafik 23">
          <a:extLst>
            <a:ext uri="{FF2B5EF4-FFF2-40B4-BE49-F238E27FC236}">
              <a16:creationId xmlns:a16="http://schemas.microsoft.com/office/drawing/2014/main" id="{99A7E83C-89C7-272B-28DF-760D9FEDBB52}"/>
            </a:ext>
          </a:extLst>
        </xdr:cNvPr>
        <xdr:cNvPicPr>
          <a:picLocks noChangeAspect="1"/>
        </xdr:cNvPicPr>
      </xdr:nvPicPr>
      <xdr:blipFill>
        <a:blip xmlns:r="http://schemas.openxmlformats.org/officeDocument/2006/relationships" r:embed="rId2"/>
        <a:stretch>
          <a:fillRect/>
        </a:stretch>
      </xdr:blipFill>
      <xdr:spPr>
        <a:xfrm>
          <a:off x="17526000" y="190500"/>
          <a:ext cx="4400532" cy="3960000"/>
        </a:xfrm>
        <a:prstGeom prst="rect">
          <a:avLst/>
        </a:prstGeom>
      </xdr:spPr>
    </xdr:pic>
    <xdr:clientData/>
  </xdr:twoCellAnchor>
  <xdr:twoCellAnchor editAs="oneCell">
    <xdr:from>
      <xdr:col>10</xdr:col>
      <xdr:colOff>0</xdr:colOff>
      <xdr:row>1</xdr:row>
      <xdr:rowOff>-1</xdr:rowOff>
    </xdr:from>
    <xdr:to>
      <xdr:col>11</xdr:col>
      <xdr:colOff>19627</xdr:colOff>
      <xdr:row>1</xdr:row>
      <xdr:rowOff>3959999</xdr:rowOff>
    </xdr:to>
    <xdr:pic>
      <xdr:nvPicPr>
        <xdr:cNvPr id="32" name="Grafik 31">
          <a:extLst>
            <a:ext uri="{FF2B5EF4-FFF2-40B4-BE49-F238E27FC236}">
              <a16:creationId xmlns:a16="http://schemas.microsoft.com/office/drawing/2014/main" id="{B5D744C9-FD2F-FAA5-EDEA-737C13F56E86}"/>
            </a:ext>
          </a:extLst>
        </xdr:cNvPr>
        <xdr:cNvPicPr>
          <a:picLocks noChangeAspect="1"/>
        </xdr:cNvPicPr>
      </xdr:nvPicPr>
      <xdr:blipFill>
        <a:blip xmlns:r="http://schemas.openxmlformats.org/officeDocument/2006/relationships" r:embed="rId3"/>
        <a:stretch>
          <a:fillRect/>
        </a:stretch>
      </xdr:blipFill>
      <xdr:spPr>
        <a:xfrm>
          <a:off x="43815000" y="190499"/>
          <a:ext cx="4401127" cy="3960000"/>
        </a:xfrm>
        <a:prstGeom prst="rect">
          <a:avLst/>
        </a:prstGeom>
      </xdr:spPr>
    </xdr:pic>
    <xdr:clientData/>
  </xdr:twoCellAnchor>
  <xdr:twoCellAnchor editAs="oneCell">
    <xdr:from>
      <xdr:col>6</xdr:col>
      <xdr:colOff>1</xdr:colOff>
      <xdr:row>1</xdr:row>
      <xdr:rowOff>1</xdr:rowOff>
    </xdr:from>
    <xdr:to>
      <xdr:col>7</xdr:col>
      <xdr:colOff>21938</xdr:colOff>
      <xdr:row>1</xdr:row>
      <xdr:rowOff>3960001</xdr:rowOff>
    </xdr:to>
    <xdr:pic>
      <xdr:nvPicPr>
        <xdr:cNvPr id="34" name="Grafik 33">
          <a:extLst>
            <a:ext uri="{FF2B5EF4-FFF2-40B4-BE49-F238E27FC236}">
              <a16:creationId xmlns:a16="http://schemas.microsoft.com/office/drawing/2014/main" id="{AAE21FF7-AF5E-A0D7-40DE-BDA604234CF0}"/>
            </a:ext>
          </a:extLst>
        </xdr:cNvPr>
        <xdr:cNvPicPr>
          <a:picLocks noChangeAspect="1"/>
        </xdr:cNvPicPr>
      </xdr:nvPicPr>
      <xdr:blipFill>
        <a:blip xmlns:r="http://schemas.openxmlformats.org/officeDocument/2006/relationships" r:embed="rId4"/>
        <a:stretch>
          <a:fillRect/>
        </a:stretch>
      </xdr:blipFill>
      <xdr:spPr>
        <a:xfrm>
          <a:off x="26289001" y="190501"/>
          <a:ext cx="4403437" cy="3960000"/>
        </a:xfrm>
        <a:prstGeom prst="rect">
          <a:avLst/>
        </a:prstGeom>
      </xdr:spPr>
    </xdr:pic>
    <xdr:clientData/>
  </xdr:twoCellAnchor>
  <xdr:twoCellAnchor editAs="oneCell">
    <xdr:from>
      <xdr:col>0</xdr:col>
      <xdr:colOff>0</xdr:colOff>
      <xdr:row>2</xdr:row>
      <xdr:rowOff>225135</xdr:rowOff>
    </xdr:from>
    <xdr:to>
      <xdr:col>0</xdr:col>
      <xdr:colOff>3825391</xdr:colOff>
      <xdr:row>2</xdr:row>
      <xdr:rowOff>4905135</xdr:rowOff>
    </xdr:to>
    <xdr:pic>
      <xdr:nvPicPr>
        <xdr:cNvPr id="35" name="Grafik 34">
          <a:extLst>
            <a:ext uri="{FF2B5EF4-FFF2-40B4-BE49-F238E27FC236}">
              <a16:creationId xmlns:a16="http://schemas.microsoft.com/office/drawing/2014/main" id="{AB0718A7-D879-9F11-70E9-5A075BAB5394}"/>
            </a:ext>
          </a:extLst>
        </xdr:cNvPr>
        <xdr:cNvPicPr>
          <a:picLocks noChangeAspect="1"/>
        </xdr:cNvPicPr>
      </xdr:nvPicPr>
      <xdr:blipFill>
        <a:blip xmlns:r="http://schemas.openxmlformats.org/officeDocument/2006/relationships" r:embed="rId5"/>
        <a:stretch>
          <a:fillRect/>
        </a:stretch>
      </xdr:blipFill>
      <xdr:spPr>
        <a:xfrm>
          <a:off x="0" y="4468090"/>
          <a:ext cx="3825391" cy="4680000"/>
        </a:xfrm>
        <a:prstGeom prst="rect">
          <a:avLst/>
        </a:prstGeom>
      </xdr:spPr>
    </xdr:pic>
    <xdr:clientData/>
  </xdr:twoCellAnchor>
  <xdr:twoCellAnchor editAs="oneCell">
    <xdr:from>
      <xdr:col>0</xdr:col>
      <xdr:colOff>4381499</xdr:colOff>
      <xdr:row>2</xdr:row>
      <xdr:rowOff>225136</xdr:rowOff>
    </xdr:from>
    <xdr:to>
      <xdr:col>1</xdr:col>
      <xdr:colOff>3833289</xdr:colOff>
      <xdr:row>2</xdr:row>
      <xdr:rowOff>4905136</xdr:rowOff>
    </xdr:to>
    <xdr:pic>
      <xdr:nvPicPr>
        <xdr:cNvPr id="36" name="Grafik 35">
          <a:extLst>
            <a:ext uri="{FF2B5EF4-FFF2-40B4-BE49-F238E27FC236}">
              <a16:creationId xmlns:a16="http://schemas.microsoft.com/office/drawing/2014/main" id="{EB9245EC-0E50-2B99-E809-E95D2507D073}"/>
            </a:ext>
          </a:extLst>
        </xdr:cNvPr>
        <xdr:cNvPicPr>
          <a:picLocks noChangeAspect="1"/>
        </xdr:cNvPicPr>
      </xdr:nvPicPr>
      <xdr:blipFill>
        <a:blip xmlns:r="http://schemas.openxmlformats.org/officeDocument/2006/relationships" r:embed="rId6"/>
        <a:stretch>
          <a:fillRect/>
        </a:stretch>
      </xdr:blipFill>
      <xdr:spPr>
        <a:xfrm>
          <a:off x="4381499" y="4468091"/>
          <a:ext cx="3833290" cy="4680000"/>
        </a:xfrm>
        <a:prstGeom prst="rect">
          <a:avLst/>
        </a:prstGeom>
      </xdr:spPr>
    </xdr:pic>
    <xdr:clientData/>
  </xdr:twoCellAnchor>
  <xdr:twoCellAnchor editAs="oneCell">
    <xdr:from>
      <xdr:col>2</xdr:col>
      <xdr:colOff>1</xdr:colOff>
      <xdr:row>2</xdr:row>
      <xdr:rowOff>225137</xdr:rowOff>
    </xdr:from>
    <xdr:to>
      <xdr:col>2</xdr:col>
      <xdr:colOff>3825349</xdr:colOff>
      <xdr:row>2</xdr:row>
      <xdr:rowOff>4905137</xdr:rowOff>
    </xdr:to>
    <xdr:pic>
      <xdr:nvPicPr>
        <xdr:cNvPr id="37" name="Grafik 36">
          <a:extLst>
            <a:ext uri="{FF2B5EF4-FFF2-40B4-BE49-F238E27FC236}">
              <a16:creationId xmlns:a16="http://schemas.microsoft.com/office/drawing/2014/main" id="{968F314C-3D79-AE1B-F9FE-F7C042D30A26}"/>
            </a:ext>
          </a:extLst>
        </xdr:cNvPr>
        <xdr:cNvPicPr>
          <a:picLocks noChangeAspect="1"/>
        </xdr:cNvPicPr>
      </xdr:nvPicPr>
      <xdr:blipFill>
        <a:blip xmlns:r="http://schemas.openxmlformats.org/officeDocument/2006/relationships" r:embed="rId7"/>
        <a:stretch>
          <a:fillRect/>
        </a:stretch>
      </xdr:blipFill>
      <xdr:spPr>
        <a:xfrm>
          <a:off x="8763001" y="4468092"/>
          <a:ext cx="3825348" cy="4680000"/>
        </a:xfrm>
        <a:prstGeom prst="rect">
          <a:avLst/>
        </a:prstGeom>
      </xdr:spPr>
    </xdr:pic>
    <xdr:clientData/>
  </xdr:twoCellAnchor>
  <xdr:twoCellAnchor editAs="oneCell">
    <xdr:from>
      <xdr:col>3</xdr:col>
      <xdr:colOff>1</xdr:colOff>
      <xdr:row>2</xdr:row>
      <xdr:rowOff>225137</xdr:rowOff>
    </xdr:from>
    <xdr:to>
      <xdr:col>3</xdr:col>
      <xdr:colOff>3822273</xdr:colOff>
      <xdr:row>2</xdr:row>
      <xdr:rowOff>4905137</xdr:rowOff>
    </xdr:to>
    <xdr:pic>
      <xdr:nvPicPr>
        <xdr:cNvPr id="38" name="Grafik 37">
          <a:extLst>
            <a:ext uri="{FF2B5EF4-FFF2-40B4-BE49-F238E27FC236}">
              <a16:creationId xmlns:a16="http://schemas.microsoft.com/office/drawing/2014/main" id="{74925298-491D-67F1-C448-544C0B8002A7}"/>
            </a:ext>
          </a:extLst>
        </xdr:cNvPr>
        <xdr:cNvPicPr>
          <a:picLocks noChangeAspect="1"/>
        </xdr:cNvPicPr>
      </xdr:nvPicPr>
      <xdr:blipFill>
        <a:blip xmlns:r="http://schemas.openxmlformats.org/officeDocument/2006/relationships" r:embed="rId8"/>
        <a:stretch>
          <a:fillRect/>
        </a:stretch>
      </xdr:blipFill>
      <xdr:spPr>
        <a:xfrm>
          <a:off x="13144501" y="4468092"/>
          <a:ext cx="3822272" cy="4680000"/>
        </a:xfrm>
        <a:prstGeom prst="rect">
          <a:avLst/>
        </a:prstGeom>
      </xdr:spPr>
    </xdr:pic>
    <xdr:clientData/>
  </xdr:twoCellAnchor>
  <xdr:twoCellAnchor editAs="oneCell">
    <xdr:from>
      <xdr:col>9</xdr:col>
      <xdr:colOff>0</xdr:colOff>
      <xdr:row>1</xdr:row>
      <xdr:rowOff>0</xdr:rowOff>
    </xdr:from>
    <xdr:to>
      <xdr:col>10</xdr:col>
      <xdr:colOff>14724</xdr:colOff>
      <xdr:row>1</xdr:row>
      <xdr:rowOff>3960000</xdr:rowOff>
    </xdr:to>
    <xdr:pic>
      <xdr:nvPicPr>
        <xdr:cNvPr id="3" name="Grafik 2">
          <a:extLst>
            <a:ext uri="{FF2B5EF4-FFF2-40B4-BE49-F238E27FC236}">
              <a16:creationId xmlns:a16="http://schemas.microsoft.com/office/drawing/2014/main" id="{D9BE8F2C-F8A0-2323-66A2-67470ED6176B}"/>
            </a:ext>
          </a:extLst>
        </xdr:cNvPr>
        <xdr:cNvPicPr>
          <a:picLocks noChangeAspect="1"/>
        </xdr:cNvPicPr>
      </xdr:nvPicPr>
      <xdr:blipFill>
        <a:blip xmlns:r="http://schemas.openxmlformats.org/officeDocument/2006/relationships" r:embed="rId9"/>
        <a:stretch>
          <a:fillRect/>
        </a:stretch>
      </xdr:blipFill>
      <xdr:spPr>
        <a:xfrm>
          <a:off x="39433500" y="190500"/>
          <a:ext cx="4396224" cy="3960000"/>
        </a:xfrm>
        <a:prstGeom prst="rect">
          <a:avLst/>
        </a:prstGeom>
      </xdr:spPr>
    </xdr:pic>
    <xdr:clientData/>
  </xdr:twoCellAnchor>
  <xdr:twoCellAnchor editAs="oneCell">
    <xdr:from>
      <xdr:col>8</xdr:col>
      <xdr:colOff>0</xdr:colOff>
      <xdr:row>1</xdr:row>
      <xdr:rowOff>0</xdr:rowOff>
    </xdr:from>
    <xdr:to>
      <xdr:col>9</xdr:col>
      <xdr:colOff>19144</xdr:colOff>
      <xdr:row>1</xdr:row>
      <xdr:rowOff>3960000</xdr:rowOff>
    </xdr:to>
    <xdr:pic>
      <xdr:nvPicPr>
        <xdr:cNvPr id="6" name="Grafik 5">
          <a:extLst>
            <a:ext uri="{FF2B5EF4-FFF2-40B4-BE49-F238E27FC236}">
              <a16:creationId xmlns:a16="http://schemas.microsoft.com/office/drawing/2014/main" id="{43CFA608-D33C-40AA-4C90-D0E4F9B7325F}"/>
            </a:ext>
          </a:extLst>
        </xdr:cNvPr>
        <xdr:cNvPicPr>
          <a:picLocks noChangeAspect="1"/>
        </xdr:cNvPicPr>
      </xdr:nvPicPr>
      <xdr:blipFill>
        <a:blip xmlns:r="http://schemas.openxmlformats.org/officeDocument/2006/relationships" r:embed="rId10"/>
        <a:stretch>
          <a:fillRect/>
        </a:stretch>
      </xdr:blipFill>
      <xdr:spPr>
        <a:xfrm>
          <a:off x="35052000" y="190500"/>
          <a:ext cx="4400644" cy="3960000"/>
        </a:xfrm>
        <a:prstGeom prst="rect">
          <a:avLst/>
        </a:prstGeom>
      </xdr:spPr>
    </xdr:pic>
    <xdr:clientData/>
  </xdr:twoCellAnchor>
  <xdr:twoCellAnchor editAs="oneCell">
    <xdr:from>
      <xdr:col>2</xdr:col>
      <xdr:colOff>0</xdr:colOff>
      <xdr:row>1</xdr:row>
      <xdr:rowOff>0</xdr:rowOff>
    </xdr:from>
    <xdr:to>
      <xdr:col>3</xdr:col>
      <xdr:colOff>17858</xdr:colOff>
      <xdr:row>1</xdr:row>
      <xdr:rowOff>3960000</xdr:rowOff>
    </xdr:to>
    <xdr:pic>
      <xdr:nvPicPr>
        <xdr:cNvPr id="2" name="Grafik 1">
          <a:extLst>
            <a:ext uri="{FF2B5EF4-FFF2-40B4-BE49-F238E27FC236}">
              <a16:creationId xmlns:a16="http://schemas.microsoft.com/office/drawing/2014/main" id="{B4E4B58E-99F8-45BB-9F01-5D83AA091362}"/>
            </a:ext>
          </a:extLst>
        </xdr:cNvPr>
        <xdr:cNvPicPr>
          <a:picLocks noChangeAspect="1"/>
        </xdr:cNvPicPr>
      </xdr:nvPicPr>
      <xdr:blipFill>
        <a:blip xmlns:r="http://schemas.openxmlformats.org/officeDocument/2006/relationships" r:embed="rId11"/>
        <a:stretch>
          <a:fillRect/>
        </a:stretch>
      </xdr:blipFill>
      <xdr:spPr>
        <a:xfrm>
          <a:off x="8763000" y="190500"/>
          <a:ext cx="4399358" cy="3960000"/>
        </a:xfrm>
        <a:prstGeom prst="rect">
          <a:avLst/>
        </a:prstGeom>
      </xdr:spPr>
    </xdr:pic>
    <xdr:clientData/>
  </xdr:twoCellAnchor>
  <xdr:twoCellAnchor editAs="oneCell">
    <xdr:from>
      <xdr:col>7</xdr:col>
      <xdr:colOff>0</xdr:colOff>
      <xdr:row>1</xdr:row>
      <xdr:rowOff>1</xdr:rowOff>
    </xdr:from>
    <xdr:to>
      <xdr:col>8</xdr:col>
      <xdr:colOff>16554</xdr:colOff>
      <xdr:row>1</xdr:row>
      <xdr:rowOff>3960001</xdr:rowOff>
    </xdr:to>
    <xdr:pic>
      <xdr:nvPicPr>
        <xdr:cNvPr id="7" name="Grafik 6">
          <a:extLst>
            <a:ext uri="{FF2B5EF4-FFF2-40B4-BE49-F238E27FC236}">
              <a16:creationId xmlns:a16="http://schemas.microsoft.com/office/drawing/2014/main" id="{48B8F533-BADA-4B4C-97BD-B3E2CD5F4ED4}"/>
            </a:ext>
          </a:extLst>
        </xdr:cNvPr>
        <xdr:cNvPicPr>
          <a:picLocks noChangeAspect="1"/>
        </xdr:cNvPicPr>
      </xdr:nvPicPr>
      <xdr:blipFill>
        <a:blip xmlns:r="http://schemas.openxmlformats.org/officeDocument/2006/relationships" r:embed="rId12"/>
        <a:stretch>
          <a:fillRect/>
        </a:stretch>
      </xdr:blipFill>
      <xdr:spPr>
        <a:xfrm>
          <a:off x="30670500" y="190501"/>
          <a:ext cx="4398054" cy="3960000"/>
        </a:xfrm>
        <a:prstGeom prst="rect">
          <a:avLst/>
        </a:prstGeom>
      </xdr:spPr>
    </xdr:pic>
    <xdr:clientData/>
  </xdr:twoCellAnchor>
  <xdr:twoCellAnchor editAs="oneCell">
    <xdr:from>
      <xdr:col>0</xdr:col>
      <xdr:colOff>1</xdr:colOff>
      <xdr:row>1</xdr:row>
      <xdr:rowOff>1</xdr:rowOff>
    </xdr:from>
    <xdr:to>
      <xdr:col>1</xdr:col>
      <xdr:colOff>24329</xdr:colOff>
      <xdr:row>1</xdr:row>
      <xdr:rowOff>3960001</xdr:rowOff>
    </xdr:to>
    <xdr:pic>
      <xdr:nvPicPr>
        <xdr:cNvPr id="8" name="Grafik 7">
          <a:extLst>
            <a:ext uri="{FF2B5EF4-FFF2-40B4-BE49-F238E27FC236}">
              <a16:creationId xmlns:a16="http://schemas.microsoft.com/office/drawing/2014/main" id="{C23AEAC5-5782-B516-93A6-1B8E2C3FBB6A}"/>
            </a:ext>
          </a:extLst>
        </xdr:cNvPr>
        <xdr:cNvPicPr>
          <a:picLocks noChangeAspect="1"/>
        </xdr:cNvPicPr>
      </xdr:nvPicPr>
      <xdr:blipFill>
        <a:blip xmlns:r="http://schemas.openxmlformats.org/officeDocument/2006/relationships" r:embed="rId13"/>
        <a:stretch>
          <a:fillRect/>
        </a:stretch>
      </xdr:blipFill>
      <xdr:spPr>
        <a:xfrm>
          <a:off x="1" y="190501"/>
          <a:ext cx="4405828" cy="3960000"/>
        </a:xfrm>
        <a:prstGeom prst="rect">
          <a:avLst/>
        </a:prstGeom>
      </xdr:spPr>
    </xdr:pic>
    <xdr:clientData/>
  </xdr:twoCellAnchor>
  <xdr:twoCellAnchor editAs="oneCell">
    <xdr:from>
      <xdr:col>1</xdr:col>
      <xdr:colOff>0</xdr:colOff>
      <xdr:row>1</xdr:row>
      <xdr:rowOff>1</xdr:rowOff>
    </xdr:from>
    <xdr:to>
      <xdr:col>2</xdr:col>
      <xdr:colOff>26198</xdr:colOff>
      <xdr:row>1</xdr:row>
      <xdr:rowOff>3960001</xdr:rowOff>
    </xdr:to>
    <xdr:pic>
      <xdr:nvPicPr>
        <xdr:cNvPr id="9" name="Grafik 8">
          <a:extLst>
            <a:ext uri="{FF2B5EF4-FFF2-40B4-BE49-F238E27FC236}">
              <a16:creationId xmlns:a16="http://schemas.microsoft.com/office/drawing/2014/main" id="{D17E0267-85ED-B98B-7BFF-CAABE1865158}"/>
            </a:ext>
          </a:extLst>
        </xdr:cNvPr>
        <xdr:cNvPicPr>
          <a:picLocks noChangeAspect="1"/>
        </xdr:cNvPicPr>
      </xdr:nvPicPr>
      <xdr:blipFill>
        <a:blip xmlns:r="http://schemas.openxmlformats.org/officeDocument/2006/relationships" r:embed="rId14"/>
        <a:stretch>
          <a:fillRect/>
        </a:stretch>
      </xdr:blipFill>
      <xdr:spPr>
        <a:xfrm>
          <a:off x="4381500" y="190501"/>
          <a:ext cx="4407698" cy="3960000"/>
        </a:xfrm>
        <a:prstGeom prst="rect">
          <a:avLst/>
        </a:prstGeom>
      </xdr:spPr>
    </xdr:pic>
    <xdr:clientData/>
  </xdr:twoCellAnchor>
  <xdr:twoCellAnchor editAs="oneCell">
    <xdr:from>
      <xdr:col>5</xdr:col>
      <xdr:colOff>1</xdr:colOff>
      <xdr:row>1</xdr:row>
      <xdr:rowOff>0</xdr:rowOff>
    </xdr:from>
    <xdr:to>
      <xdr:col>6</xdr:col>
      <xdr:colOff>17899</xdr:colOff>
      <xdr:row>1</xdr:row>
      <xdr:rowOff>3960000</xdr:rowOff>
    </xdr:to>
    <xdr:pic>
      <xdr:nvPicPr>
        <xdr:cNvPr id="10" name="Grafik 9">
          <a:extLst>
            <a:ext uri="{FF2B5EF4-FFF2-40B4-BE49-F238E27FC236}">
              <a16:creationId xmlns:a16="http://schemas.microsoft.com/office/drawing/2014/main" id="{B61F09C0-DAC7-EE09-34B0-66B948F97036}"/>
            </a:ext>
          </a:extLst>
        </xdr:cNvPr>
        <xdr:cNvPicPr>
          <a:picLocks noChangeAspect="1"/>
        </xdr:cNvPicPr>
      </xdr:nvPicPr>
      <xdr:blipFill>
        <a:blip xmlns:r="http://schemas.openxmlformats.org/officeDocument/2006/relationships" r:embed="rId15"/>
        <a:stretch>
          <a:fillRect/>
        </a:stretch>
      </xdr:blipFill>
      <xdr:spPr>
        <a:xfrm>
          <a:off x="21907501" y="190500"/>
          <a:ext cx="4399398" cy="3960000"/>
        </a:xfrm>
        <a:prstGeom prst="rect">
          <a:avLst/>
        </a:prstGeom>
      </xdr:spPr>
    </xdr:pic>
    <xdr:clientData/>
  </xdr:twoCellAnchor>
  <xdr:twoCellAnchor editAs="oneCell">
    <xdr:from>
      <xdr:col>11</xdr:col>
      <xdr:colOff>0</xdr:colOff>
      <xdr:row>1</xdr:row>
      <xdr:rowOff>0</xdr:rowOff>
    </xdr:from>
    <xdr:to>
      <xdr:col>12</xdr:col>
      <xdr:colOff>24000</xdr:colOff>
      <xdr:row>1</xdr:row>
      <xdr:rowOff>3960000</xdr:rowOff>
    </xdr:to>
    <xdr:pic>
      <xdr:nvPicPr>
        <xdr:cNvPr id="11" name="Grafik 10">
          <a:extLst>
            <a:ext uri="{FF2B5EF4-FFF2-40B4-BE49-F238E27FC236}">
              <a16:creationId xmlns:a16="http://schemas.microsoft.com/office/drawing/2014/main" id="{756A6528-11DE-F36E-E2AC-2D0058EAFAAE}"/>
            </a:ext>
          </a:extLst>
        </xdr:cNvPr>
        <xdr:cNvPicPr>
          <a:picLocks noChangeAspect="1"/>
        </xdr:cNvPicPr>
      </xdr:nvPicPr>
      <xdr:blipFill>
        <a:blip xmlns:r="http://schemas.openxmlformats.org/officeDocument/2006/relationships" r:embed="rId16"/>
        <a:stretch>
          <a:fillRect/>
        </a:stretch>
      </xdr:blipFill>
      <xdr:spPr>
        <a:xfrm>
          <a:off x="48196500" y="190500"/>
          <a:ext cx="4405500" cy="39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295275</xdr:colOff>
          <xdr:row>9</xdr:row>
          <xdr:rowOff>219075</xdr:rowOff>
        </xdr:from>
        <xdr:to>
          <xdr:col>4</xdr:col>
          <xdr:colOff>152400</xdr:colOff>
          <xdr:row>17</xdr:row>
          <xdr:rowOff>180976</xdr:rowOff>
        </xdr:to>
        <xdr:pic>
          <xdr:nvPicPr>
            <xdr:cNvPr id="2" name="Grafik 1">
              <a:hlinkClick xmlns:r="http://schemas.openxmlformats.org/officeDocument/2006/relationships" r:id="rId1"/>
              <a:extLst>
                <a:ext uri="{FF2B5EF4-FFF2-40B4-BE49-F238E27FC236}">
                  <a16:creationId xmlns:a16="http://schemas.microsoft.com/office/drawing/2014/main" id="{ED68E957-8CFD-4590-B896-B2BBB81A203F}"/>
                </a:ext>
              </a:extLst>
            </xdr:cNvPr>
            <xdr:cNvPicPr preferRelativeResize="0">
              <a:picLocks/>
              <a:extLst>
                <a:ext uri="{84589F7E-364E-4C9E-8A38-B11213B215E9}">
                  <a14:cameraTool cellRange="TreppenlaufBild" spid="_x0000_s94763"/>
                </a:ext>
              </a:extLst>
            </xdr:cNvPicPr>
          </xdr:nvPicPr>
          <xdr:blipFill>
            <a:blip xmlns:r="http://schemas.openxmlformats.org/officeDocument/2006/relationships" r:embed="rId2">
              <a:alphaModFix/>
            </a:blip>
            <a:stretch>
              <a:fillRect/>
            </a:stretch>
          </xdr:blipFill>
          <xdr:spPr>
            <a:xfrm>
              <a:off x="581025" y="1895475"/>
              <a:ext cx="1609725" cy="1533525"/>
            </a:xfrm>
            <a:prstGeom prst="rect">
              <a:avLst/>
            </a:prstGeom>
            <a:ln w="12700">
              <a:solidFill>
                <a:schemeClr val="tx2"/>
              </a:solid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xdr:row>
          <xdr:rowOff>219075</xdr:rowOff>
        </xdr:from>
        <xdr:to>
          <xdr:col>10</xdr:col>
          <xdr:colOff>581025</xdr:colOff>
          <xdr:row>17</xdr:row>
          <xdr:rowOff>180976</xdr:rowOff>
        </xdr:to>
        <xdr:pic>
          <xdr:nvPicPr>
            <xdr:cNvPr id="3" name="Grafik 2">
              <a:hlinkClick xmlns:r="http://schemas.openxmlformats.org/officeDocument/2006/relationships" r:id="rId3"/>
              <a:extLst>
                <a:ext uri="{FF2B5EF4-FFF2-40B4-BE49-F238E27FC236}">
                  <a16:creationId xmlns:a16="http://schemas.microsoft.com/office/drawing/2014/main" id="{00000000-0008-0000-0100-000003000000}"/>
                </a:ext>
              </a:extLst>
            </xdr:cNvPr>
            <xdr:cNvPicPr preferRelativeResize="0">
              <a:picLocks/>
              <a:extLst>
                <a:ext uri="{84589F7E-364E-4C9E-8A38-B11213B215E9}">
                  <a14:cameraTool cellRange="PodestBild" spid="_x0000_s94764"/>
                </a:ext>
              </a:extLst>
            </xdr:cNvPicPr>
          </xdr:nvPicPr>
          <xdr:blipFill>
            <a:blip xmlns:r="http://schemas.openxmlformats.org/officeDocument/2006/relationships" r:embed="rId4"/>
            <a:stretch>
              <a:fillRect/>
            </a:stretch>
          </xdr:blipFill>
          <xdr:spPr>
            <a:xfrm>
              <a:off x="3276600" y="1895475"/>
              <a:ext cx="1609725" cy="1533525"/>
            </a:xfrm>
            <a:prstGeom prst="rect">
              <a:avLst/>
            </a:prstGeom>
            <a:ln w="12700">
              <a:solidFill>
                <a:schemeClr val="tx2"/>
              </a:solidFill>
            </a:ln>
          </xdr:spPr>
        </xdr:pic>
        <xdr:clientData/>
      </xdr:twoCellAnchor>
    </mc:Choice>
    <mc:Fallback/>
  </mc:AlternateContent>
  <xdr:twoCellAnchor>
    <xdr:from>
      <xdr:col>9</xdr:col>
      <xdr:colOff>123265</xdr:colOff>
      <xdr:row>1</xdr:row>
      <xdr:rowOff>56029</xdr:rowOff>
    </xdr:from>
    <xdr:to>
      <xdr:col>11</xdr:col>
      <xdr:colOff>593912</xdr:colOff>
      <xdr:row>2</xdr:row>
      <xdr:rowOff>171963</xdr:rowOff>
    </xdr:to>
    <xdr:sp macro="" textlink="">
      <xdr:nvSpPr>
        <xdr:cNvPr id="4" name="Text Placeholder 3">
          <a:hlinkClick xmlns:r="http://schemas.openxmlformats.org/officeDocument/2006/relationships" r:id="rId5"/>
          <a:extLst>
            <a:ext uri="{FF2B5EF4-FFF2-40B4-BE49-F238E27FC236}">
              <a16:creationId xmlns:a16="http://schemas.microsoft.com/office/drawing/2014/main" id="{8A145589-C43C-4DD1-B5B4-75060671CCE2}"/>
            </a:ext>
          </a:extLst>
        </xdr:cNvPr>
        <xdr:cNvSpPr>
          <a:spLocks noGrp="1" noChangeAspect="1"/>
        </xdr:cNvSpPr>
      </xdr:nvSpPr>
      <xdr:spPr bwMode="gray">
        <a:xfrm>
          <a:off x="4146177" y="156882"/>
          <a:ext cx="1524000" cy="306434"/>
        </a:xfrm>
        <a:prstGeom prst="rect">
          <a:avLst/>
        </a:prstGeom>
        <a:blipFill dpi="0" rotWithShape="1">
          <a:blip xmlns:r="http://schemas.openxmlformats.org/officeDocument/2006/relationships" r:embed="rId6" cstate="screen">
            <a:extLst>
              <a:ext uri="{28A0092B-C50C-407E-A947-70E740481C1C}">
                <a14:useLocalDpi xmlns:a14="http://schemas.microsoft.com/office/drawing/2010/main"/>
              </a:ext>
            </a:extLst>
          </a:blip>
          <a:srcRect/>
          <a:stretch>
            <a:fillRect/>
          </a:stretch>
        </a:blipFill>
      </xdr:spPr>
      <xdr:txBody>
        <a:bodyPr vert="horz" wrap="square" lIns="0" tIns="0" rIns="0" bIns="0" rtlCol="0">
          <a:noAutofit/>
        </a:bodyPr>
        <a:lstStyle>
          <a:lvl1pPr marL="0" indent="0" algn="l" defTabSz="914400" rtl="0" eaLnBrk="1" latinLnBrk="0" hangingPunct="1">
            <a:lnSpc>
              <a:spcPct val="110000"/>
            </a:lnSpc>
            <a:spcBef>
              <a:spcPts val="0"/>
            </a:spcBef>
            <a:spcAft>
              <a:spcPts val="1000"/>
            </a:spcAft>
            <a:buClr>
              <a:schemeClr val="accent2"/>
            </a:buClr>
            <a:buSzPct val="100000"/>
            <a:buFont typeface="Wingdings" panose="05000000000000000000" pitchFamily="2" charset="2"/>
            <a:buNone/>
            <a:defRPr sz="1800" kern="1200">
              <a:solidFill>
                <a:schemeClr val="tx1"/>
              </a:solidFill>
              <a:latin typeface="+mn-lt"/>
              <a:ea typeface="+mn-ea"/>
              <a:cs typeface="+mn-cs"/>
            </a:defRPr>
          </a:lvl1pPr>
          <a:lvl2pPr marL="72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600" kern="1200">
              <a:solidFill>
                <a:schemeClr val="tx1"/>
              </a:solidFill>
              <a:latin typeface="+mn-lt"/>
              <a:ea typeface="+mn-ea"/>
              <a:cs typeface="+mn-cs"/>
            </a:defRPr>
          </a:lvl2pPr>
          <a:lvl3pPr marL="108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400" kern="1200">
              <a:solidFill>
                <a:schemeClr val="tx1"/>
              </a:solidFill>
              <a:latin typeface="+mn-lt"/>
              <a:ea typeface="+mn-ea"/>
              <a:cs typeface="+mn-cs"/>
            </a:defRPr>
          </a:lvl3pPr>
          <a:lvl4pPr marL="144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200" kern="1200">
              <a:solidFill>
                <a:schemeClr val="tx1"/>
              </a:solidFill>
              <a:latin typeface="+mn-lt"/>
              <a:ea typeface="+mn-ea"/>
              <a:cs typeface="+mn-cs"/>
            </a:defRPr>
          </a:lvl4pPr>
          <a:lvl5pPr marL="180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000" kern="1200">
              <a:solidFill>
                <a:schemeClr val="tx1"/>
              </a:solidFill>
              <a:latin typeface="+mn-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89857</xdr:colOff>
          <xdr:row>45</xdr:row>
          <xdr:rowOff>32349</xdr:rowOff>
        </xdr:from>
        <xdr:to>
          <xdr:col>8</xdr:col>
          <xdr:colOff>245492</xdr:colOff>
          <xdr:row>47</xdr:row>
          <xdr:rowOff>129397</xdr:rowOff>
        </xdr:to>
        <xdr:pic>
          <xdr:nvPicPr>
            <xdr:cNvPr id="11" name="Grafik 10">
              <a:extLst>
                <a:ext uri="{FF2B5EF4-FFF2-40B4-BE49-F238E27FC236}">
                  <a16:creationId xmlns:a16="http://schemas.microsoft.com/office/drawing/2014/main" id="{00000000-0008-0000-0400-00000B000000}"/>
                </a:ext>
              </a:extLst>
            </xdr:cNvPr>
            <xdr:cNvPicPr>
              <a:picLocks noChangeAspect="1" noChangeArrowheads="1"/>
              <a:extLst>
                <a:ext uri="{84589F7E-364E-4C9E-8A38-B11213B215E9}">
                  <a14:cameraTool cellRange="bild2" spid="_x0000_s92913"/>
                </a:ext>
              </a:extLst>
            </xdr:cNvPicPr>
          </xdr:nvPicPr>
          <xdr:blipFill rotWithShape="1">
            <a:blip xmlns:r="http://schemas.openxmlformats.org/officeDocument/2006/relationships" r:embed="rId1"/>
            <a:srcRect l="2010" t="5547" r="2100" b="5664"/>
            <a:stretch>
              <a:fillRect/>
            </a:stretch>
          </xdr:blipFill>
          <xdr:spPr bwMode="auto">
            <a:xfrm>
              <a:off x="2519631" y="5794075"/>
              <a:ext cx="1006415" cy="478048"/>
            </a:xfrm>
            <a:prstGeom prst="roundRect">
              <a:avLst>
                <a:gd name="adj" fmla="val 0"/>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64698</xdr:colOff>
          <xdr:row>52</xdr:row>
          <xdr:rowOff>32349</xdr:rowOff>
        </xdr:from>
        <xdr:to>
          <xdr:col>8</xdr:col>
          <xdr:colOff>238304</xdr:colOff>
          <xdr:row>54</xdr:row>
          <xdr:rowOff>158151</xdr:rowOff>
        </xdr:to>
        <xdr:pic>
          <xdr:nvPicPr>
            <xdr:cNvPr id="12" name="Grafik 11">
              <a:extLst>
                <a:ext uri="{FF2B5EF4-FFF2-40B4-BE49-F238E27FC236}">
                  <a16:creationId xmlns:a16="http://schemas.microsoft.com/office/drawing/2014/main" id="{00000000-0008-0000-0400-00000C000000}"/>
                </a:ext>
              </a:extLst>
            </xdr:cNvPr>
            <xdr:cNvPicPr>
              <a:picLocks noChangeAspect="1" noChangeArrowheads="1"/>
              <a:extLst>
                <a:ext uri="{84589F7E-364E-4C9E-8A38-B11213B215E9}">
                  <a14:cameraTool cellRange="bild1" spid="_x0000_s92914"/>
                </a:ext>
              </a:extLst>
            </xdr:cNvPicPr>
          </xdr:nvPicPr>
          <xdr:blipFill rotWithShape="1">
            <a:blip xmlns:r="http://schemas.openxmlformats.org/officeDocument/2006/relationships" r:embed="rId1"/>
            <a:srcRect l="2167" t="4355" r="2519" b="3939"/>
            <a:stretch>
              <a:fillRect/>
            </a:stretch>
          </xdr:blipFill>
          <xdr:spPr bwMode="auto">
            <a:xfrm>
              <a:off x="2494472" y="6556075"/>
              <a:ext cx="1024386" cy="506802"/>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150560</xdr:colOff>
      <xdr:row>0</xdr:row>
      <xdr:rowOff>33618</xdr:rowOff>
    </xdr:from>
    <xdr:to>
      <xdr:col>2</xdr:col>
      <xdr:colOff>327485</xdr:colOff>
      <xdr:row>3</xdr:row>
      <xdr:rowOff>19707</xdr:rowOff>
    </xdr:to>
    <xdr:pic>
      <xdr:nvPicPr>
        <xdr:cNvPr id="3" name="Grafik 2" descr="Zurück mit einfarbiger Füllung">
          <a:hlinkClick xmlns:r="http://schemas.openxmlformats.org/officeDocument/2006/relationships" r:id="rId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50560" y="33618"/>
          <a:ext cx="564494" cy="557589"/>
        </a:xfrm>
        <a:prstGeom prst="rect">
          <a:avLst/>
        </a:prstGeom>
        <a:solidFill>
          <a:schemeClr val="bg1">
            <a:lumMod val="95000"/>
          </a:schemeClr>
        </a:solidFill>
        <a:effectLst/>
      </xdr:spPr>
    </xdr:pic>
    <xdr:clientData/>
  </xdr:twoCellAnchor>
  <mc:AlternateContent xmlns:mc="http://schemas.openxmlformats.org/markup-compatibility/2006">
    <mc:Choice xmlns:a14="http://schemas.microsoft.com/office/drawing/2010/main" Requires="a14">
      <xdr:twoCellAnchor editAs="oneCell">
        <xdr:from>
          <xdr:col>13</xdr:col>
          <xdr:colOff>85724</xdr:colOff>
          <xdr:row>2</xdr:row>
          <xdr:rowOff>28571</xdr:rowOff>
        </xdr:from>
        <xdr:to>
          <xdr:col>20</xdr:col>
          <xdr:colOff>396807</xdr:colOff>
          <xdr:row>28</xdr:row>
          <xdr:rowOff>168088</xdr:rowOff>
        </xdr:to>
        <xdr:pic>
          <xdr:nvPicPr>
            <xdr:cNvPr id="9" name="Grafik 8">
              <a:extLst>
                <a:ext uri="{FF2B5EF4-FFF2-40B4-BE49-F238E27FC236}">
                  <a16:creationId xmlns:a16="http://schemas.microsoft.com/office/drawing/2014/main" id="{3F57B197-7E79-4B19-9D2B-6E34F8E9E355}"/>
                </a:ext>
              </a:extLst>
            </xdr:cNvPr>
            <xdr:cNvPicPr preferRelativeResize="0">
              <a:picLocks noChangeAspect="1" noChangeArrowheads="1"/>
              <a:extLst>
                <a:ext uri="{84589F7E-364E-4C9E-8A38-B11213B215E9}">
                  <a14:cameraTool cellRange="BildauswahlLauf" spid="_x0000_s92915"/>
                </a:ext>
              </a:extLst>
            </xdr:cNvPicPr>
          </xdr:nvPicPr>
          <xdr:blipFill rotWithShape="1">
            <a:blip xmlns:r="http://schemas.openxmlformats.org/officeDocument/2006/relationships" r:embed="rId5"/>
            <a:srcRect l="2010" t="5547" r="2100" b="5664"/>
            <a:stretch>
              <a:fillRect/>
            </a:stretch>
          </xdr:blipFill>
          <xdr:spPr bwMode="auto">
            <a:xfrm>
              <a:off x="5912783" y="409571"/>
              <a:ext cx="5645083" cy="5081311"/>
            </a:xfrm>
            <a:prstGeom prst="roundRect">
              <a:avLst>
                <a:gd name="adj" fmla="val 0"/>
              </a:avLst>
            </a:prstGeom>
            <a:noFill/>
            <a:ln>
              <a:noFill/>
            </a:ln>
            <a:effectLst/>
          </xdr:spPr>
        </xdr:pic>
        <xdr:clientData/>
      </xdr:twoCellAnchor>
    </mc:Choice>
    <mc:Fallback/>
  </mc:AlternateContent>
  <xdr:twoCellAnchor>
    <xdr:from>
      <xdr:col>9</xdr:col>
      <xdr:colOff>392207</xdr:colOff>
      <xdr:row>1</xdr:row>
      <xdr:rowOff>0</xdr:rowOff>
    </xdr:from>
    <xdr:to>
      <xdr:col>12</xdr:col>
      <xdr:colOff>67236</xdr:colOff>
      <xdr:row>2</xdr:row>
      <xdr:rowOff>115934</xdr:rowOff>
    </xdr:to>
    <xdr:sp macro="" textlink="">
      <xdr:nvSpPr>
        <xdr:cNvPr id="5" name="Text Placeholder 3">
          <a:hlinkClick xmlns:r="http://schemas.openxmlformats.org/officeDocument/2006/relationships" r:id="rId6"/>
          <a:extLst>
            <a:ext uri="{FF2B5EF4-FFF2-40B4-BE49-F238E27FC236}">
              <a16:creationId xmlns:a16="http://schemas.microsoft.com/office/drawing/2014/main" id="{882D0EF3-0A2C-4B2E-8455-651F70FEFB19}"/>
            </a:ext>
          </a:extLst>
        </xdr:cNvPr>
        <xdr:cNvSpPr>
          <a:spLocks noGrp="1" noChangeAspect="1"/>
        </xdr:cNvSpPr>
      </xdr:nvSpPr>
      <xdr:spPr bwMode="gray">
        <a:xfrm>
          <a:off x="4078942" y="190500"/>
          <a:ext cx="1524000" cy="306434"/>
        </a:xfrm>
        <a:prstGeom prst="rect">
          <a:avLst/>
        </a:prstGeom>
        <a:blipFill dpi="0" rotWithShape="1">
          <a:blip xmlns:r="http://schemas.openxmlformats.org/officeDocument/2006/relationships" r:embed="rId7" cstate="screen">
            <a:extLst>
              <a:ext uri="{28A0092B-C50C-407E-A947-70E740481C1C}">
                <a14:useLocalDpi xmlns:a14="http://schemas.microsoft.com/office/drawing/2010/main"/>
              </a:ext>
            </a:extLst>
          </a:blip>
          <a:srcRect/>
          <a:stretch>
            <a:fillRect/>
          </a:stretch>
        </a:blipFill>
      </xdr:spPr>
      <xdr:txBody>
        <a:bodyPr vert="horz" wrap="square" lIns="0" tIns="0" rIns="0" bIns="0" rtlCol="0">
          <a:noAutofit/>
        </a:bodyPr>
        <a:lstStyle>
          <a:lvl1pPr marL="0" indent="0" algn="l" defTabSz="914400" rtl="0" eaLnBrk="1" latinLnBrk="0" hangingPunct="1">
            <a:lnSpc>
              <a:spcPct val="110000"/>
            </a:lnSpc>
            <a:spcBef>
              <a:spcPts val="0"/>
            </a:spcBef>
            <a:spcAft>
              <a:spcPts val="1000"/>
            </a:spcAft>
            <a:buClr>
              <a:schemeClr val="accent2"/>
            </a:buClr>
            <a:buSzPct val="100000"/>
            <a:buFont typeface="Wingdings" panose="05000000000000000000" pitchFamily="2" charset="2"/>
            <a:buNone/>
            <a:defRPr sz="1800" kern="1200">
              <a:solidFill>
                <a:schemeClr val="tx1"/>
              </a:solidFill>
              <a:latin typeface="+mn-lt"/>
              <a:ea typeface="+mn-ea"/>
              <a:cs typeface="+mn-cs"/>
            </a:defRPr>
          </a:lvl1pPr>
          <a:lvl2pPr marL="72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600" kern="1200">
              <a:solidFill>
                <a:schemeClr val="tx1"/>
              </a:solidFill>
              <a:latin typeface="+mn-lt"/>
              <a:ea typeface="+mn-ea"/>
              <a:cs typeface="+mn-cs"/>
            </a:defRPr>
          </a:lvl2pPr>
          <a:lvl3pPr marL="108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400" kern="1200">
              <a:solidFill>
                <a:schemeClr val="tx1"/>
              </a:solidFill>
              <a:latin typeface="+mn-lt"/>
              <a:ea typeface="+mn-ea"/>
              <a:cs typeface="+mn-cs"/>
            </a:defRPr>
          </a:lvl3pPr>
          <a:lvl4pPr marL="144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200" kern="1200">
              <a:solidFill>
                <a:schemeClr val="tx1"/>
              </a:solidFill>
              <a:latin typeface="+mn-lt"/>
              <a:ea typeface="+mn-ea"/>
              <a:cs typeface="+mn-cs"/>
            </a:defRPr>
          </a:lvl4pPr>
          <a:lvl5pPr marL="180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000" kern="1200">
              <a:solidFill>
                <a:schemeClr val="tx1"/>
              </a:solidFill>
              <a:latin typeface="+mn-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endParaRPr lang="en-US"/>
        </a:p>
      </xdr:txBody>
    </xdr:sp>
    <xdr:clientData/>
  </xdr:twoCellAnchor>
  <xdr:twoCellAnchor editAs="oneCell">
    <xdr:from>
      <xdr:col>16</xdr:col>
      <xdr:colOff>319066</xdr:colOff>
      <xdr:row>54</xdr:row>
      <xdr:rowOff>57113</xdr:rowOff>
    </xdr:from>
    <xdr:to>
      <xdr:col>17</xdr:col>
      <xdr:colOff>233140</xdr:colOff>
      <xdr:row>57</xdr:row>
      <xdr:rowOff>148987</xdr:rowOff>
    </xdr:to>
    <xdr:pic>
      <xdr:nvPicPr>
        <xdr:cNvPr id="2" name="Grafik 1" descr="Drucker mit einfarbiger Füllung">
          <a:hlinkClick xmlns:r="http://schemas.openxmlformats.org/officeDocument/2006/relationships" r:id="rId8"/>
          <a:extLst>
            <a:ext uri="{FF2B5EF4-FFF2-40B4-BE49-F238E27FC236}">
              <a16:creationId xmlns:a16="http://schemas.microsoft.com/office/drawing/2014/main" id="{106FC4D5-8FE7-B944-949C-5796CD481EFC}"/>
            </a:ext>
          </a:extLst>
        </xdr:cNvPr>
        <xdr:cNvPicPr>
          <a:picLocks noChangeAspect="1"/>
        </xdr:cNvPicPr>
      </xdr:nvPicPr>
      <xdr:blipFill>
        <a:blip xmlns:r="http://schemas.openxmlformats.org/officeDocument/2006/relationships" r:embed="rId9">
          <a:alphaModFix/>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8432125" y="10086378"/>
          <a:ext cx="676074" cy="663374"/>
        </a:xfrm>
        <a:prstGeom prst="rect">
          <a:avLst/>
        </a:prstGeom>
        <a:noFill/>
        <a:effectLst>
          <a:outerShdw blurRad="25400" dist="6350" dir="5400000" algn="t" rotWithShape="0">
            <a:prstClr val="black">
              <a:alpha val="40000"/>
            </a:prstClr>
          </a:outerShdw>
          <a:softEdge rad="0"/>
        </a:effectLst>
      </xdr:spPr>
    </xdr:pic>
    <xdr:clientData/>
  </xdr:twoCellAnchor>
  <xdr:twoCellAnchor editAs="oneCell">
    <xdr:from>
      <xdr:col>19</xdr:col>
      <xdr:colOff>661147</xdr:colOff>
      <xdr:row>28</xdr:row>
      <xdr:rowOff>67236</xdr:rowOff>
    </xdr:from>
    <xdr:to>
      <xdr:col>20</xdr:col>
      <xdr:colOff>366094</xdr:colOff>
      <xdr:row>30</xdr:row>
      <xdr:rowOff>35704</xdr:rowOff>
    </xdr:to>
    <xdr:pic>
      <xdr:nvPicPr>
        <xdr:cNvPr id="4" name="Grafik 3">
          <a:extLst>
            <a:ext uri="{FF2B5EF4-FFF2-40B4-BE49-F238E27FC236}">
              <a16:creationId xmlns:a16="http://schemas.microsoft.com/office/drawing/2014/main" id="{7E9D0AD9-5D03-42F0-80B4-41BD30785DDB}"/>
            </a:ext>
          </a:extLst>
        </xdr:cNvPr>
        <xdr:cNvPicPr>
          <a:picLocks noChangeAspect="1"/>
        </xdr:cNvPicPr>
      </xdr:nvPicPr>
      <xdr:blipFill>
        <a:blip xmlns:r="http://schemas.openxmlformats.org/officeDocument/2006/relationships" r:embed="rId11"/>
        <a:stretch>
          <a:fillRect/>
        </a:stretch>
      </xdr:blipFill>
      <xdr:spPr>
        <a:xfrm>
          <a:off x="11060206" y="5390030"/>
          <a:ext cx="466947" cy="371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312964</xdr:colOff>
      <xdr:row>49</xdr:row>
      <xdr:rowOff>29470</xdr:rowOff>
    </xdr:from>
    <xdr:to>
      <xdr:col>9</xdr:col>
      <xdr:colOff>272143</xdr:colOff>
      <xdr:row>53</xdr:row>
      <xdr:rowOff>81644</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rotWithShape="1">
        <a:blip xmlns:r="http://schemas.openxmlformats.org/officeDocument/2006/relationships" r:embed="rId1">
          <a:alphaModFix/>
        </a:blip>
        <a:srcRect l="16040" t="15807" r="12248" b="34635"/>
        <a:stretch/>
      </xdr:blipFill>
      <xdr:spPr>
        <a:xfrm>
          <a:off x="4463143" y="11731613"/>
          <a:ext cx="1265464" cy="868602"/>
        </a:xfrm>
        <a:prstGeom prst="rect">
          <a:avLst/>
        </a:prstGeom>
      </xdr:spPr>
    </xdr:pic>
    <xdr:clientData/>
  </xdr:twoCellAnchor>
  <xdr:twoCellAnchor editAs="oneCell">
    <xdr:from>
      <xdr:col>1</xdr:col>
      <xdr:colOff>47625</xdr:colOff>
      <xdr:row>18</xdr:row>
      <xdr:rowOff>82374</xdr:rowOff>
    </xdr:from>
    <xdr:to>
      <xdr:col>3</xdr:col>
      <xdr:colOff>398688</xdr:colOff>
      <xdr:row>19</xdr:row>
      <xdr:rowOff>847558</xdr:rowOff>
    </xdr:to>
    <xdr:pic>
      <xdr:nvPicPr>
        <xdr:cNvPr id="5" name="Grafik 4" descr="Tronsole® Typ T: Trittschalldämmung Treppenlauf Podest">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3892374"/>
          <a:ext cx="1752599" cy="936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19</xdr:row>
      <xdr:rowOff>866774</xdr:rowOff>
    </xdr:from>
    <xdr:to>
      <xdr:col>3</xdr:col>
      <xdr:colOff>372426</xdr:colOff>
      <xdr:row>20</xdr:row>
      <xdr:rowOff>829219</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stretch>
          <a:fillRect/>
        </a:stretch>
      </xdr:blipFill>
      <xdr:spPr>
        <a:xfrm>
          <a:off x="314325" y="4848224"/>
          <a:ext cx="1612037" cy="857795"/>
        </a:xfrm>
        <a:prstGeom prst="rect">
          <a:avLst/>
        </a:prstGeom>
      </xdr:spPr>
    </xdr:pic>
    <xdr:clientData/>
  </xdr:twoCellAnchor>
  <xdr:twoCellAnchor editAs="oneCell">
    <xdr:from>
      <xdr:col>1</xdr:col>
      <xdr:colOff>374789</xdr:colOff>
      <xdr:row>21</xdr:row>
      <xdr:rowOff>143204</xdr:rowOff>
    </xdr:from>
    <xdr:to>
      <xdr:col>3</xdr:col>
      <xdr:colOff>149394</xdr:colOff>
      <xdr:row>21</xdr:row>
      <xdr:rowOff>762000</xdr:rowOff>
    </xdr:to>
    <xdr:pic>
      <xdr:nvPicPr>
        <xdr:cNvPr id="8" name="Grafik 7" descr="Schöck Tronsole® Typ B und D">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189" y="5915354"/>
          <a:ext cx="1176141" cy="618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22</xdr:row>
      <xdr:rowOff>47624</xdr:rowOff>
    </xdr:from>
    <xdr:to>
      <xdr:col>3</xdr:col>
      <xdr:colOff>304448</xdr:colOff>
      <xdr:row>22</xdr:row>
      <xdr:rowOff>847725</xdr:rowOff>
    </xdr:to>
    <xdr:pic>
      <xdr:nvPicPr>
        <xdr:cNvPr id="9" name="Grafik 8" descr="Tronsole® Typ L: Trittschalldämmung Fuge Treppe Wand">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1950" y="6715124"/>
          <a:ext cx="1496434" cy="800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19</xdr:row>
      <xdr:rowOff>830036</xdr:rowOff>
    </xdr:from>
    <xdr:to>
      <xdr:col>7</xdr:col>
      <xdr:colOff>590349</xdr:colOff>
      <xdr:row>21</xdr:row>
      <xdr:rowOff>172811</xdr:rowOff>
    </xdr:to>
    <xdr:pic>
      <xdr:nvPicPr>
        <xdr:cNvPr id="12" name="Grafik 11" descr="Tronsole® Typ P: Trittschalldämmung Podest und Wand">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02429" y="4680857"/>
          <a:ext cx="2019099" cy="1138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171450</xdr:colOff>
      <xdr:row>21</xdr:row>
      <xdr:rowOff>66675</xdr:rowOff>
    </xdr:from>
    <xdr:to>
      <xdr:col>7</xdr:col>
      <xdr:colOff>265159</xdr:colOff>
      <xdr:row>22</xdr:row>
      <xdr:rowOff>1794</xdr:rowOff>
    </xdr:to>
    <xdr:pic>
      <xdr:nvPicPr>
        <xdr:cNvPr id="13" name="Grafik 12" descr="Tronsole® Typ Z: Trittschalldämmung Podest und Wand">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71850" y="5838825"/>
          <a:ext cx="1468032" cy="824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18</xdr:row>
      <xdr:rowOff>99333</xdr:rowOff>
    </xdr:from>
    <xdr:to>
      <xdr:col>7</xdr:col>
      <xdr:colOff>327536</xdr:colOff>
      <xdr:row>20</xdr:row>
      <xdr:rowOff>12783</xdr:rowOff>
    </xdr:to>
    <xdr:pic>
      <xdr:nvPicPr>
        <xdr:cNvPr id="14" name="Grafik 13" descr="Tronsole® Typ Q: Trittschalldämmung gewendelter Lauf ">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02429" y="3773262"/>
          <a:ext cx="1756286" cy="988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320723</xdr:colOff>
      <xdr:row>3</xdr:row>
      <xdr:rowOff>108857</xdr:rowOff>
    </xdr:from>
    <xdr:to>
      <xdr:col>9</xdr:col>
      <xdr:colOff>279111</xdr:colOff>
      <xdr:row>6</xdr:row>
      <xdr:rowOff>32534</xdr:rowOff>
    </xdr:to>
    <xdr:pic>
      <xdr:nvPicPr>
        <xdr:cNvPr id="3" name="Grafik 2" descr="Zurück mit einfarbiger Füllung">
          <a:hlinkClick xmlns:r="http://schemas.openxmlformats.org/officeDocument/2006/relationships" r:id="rId9"/>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5172870" y="590710"/>
          <a:ext cx="552300" cy="54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69396</xdr:colOff>
          <xdr:row>121</xdr:row>
          <xdr:rowOff>163286</xdr:rowOff>
        </xdr:from>
        <xdr:to>
          <xdr:col>9</xdr:col>
          <xdr:colOff>120938</xdr:colOff>
          <xdr:row>125</xdr:row>
          <xdr:rowOff>260465</xdr:rowOff>
        </xdr:to>
        <xdr:pic>
          <xdr:nvPicPr>
            <xdr:cNvPr id="16" name="Grafik 15">
              <a:extLst>
                <a:ext uri="{FF2B5EF4-FFF2-40B4-BE49-F238E27FC236}">
                  <a16:creationId xmlns:a16="http://schemas.microsoft.com/office/drawing/2014/main" id="{00000000-0008-0000-0800-000010000000}"/>
                </a:ext>
              </a:extLst>
            </xdr:cNvPr>
            <xdr:cNvPicPr>
              <a:picLocks noChangeAspect="1" noChangeArrowheads="1"/>
              <a:extLst>
                <a:ext uri="{84589F7E-364E-4C9E-8A38-B11213B215E9}">
                  <a14:cameraTool cellRange="bild2" spid="_x0000_s107039"/>
                </a:ext>
              </a:extLst>
            </xdr:cNvPicPr>
          </xdr:nvPicPr>
          <xdr:blipFill rotWithShape="1">
            <a:blip xmlns:r="http://schemas.openxmlformats.org/officeDocument/2006/relationships" r:embed="rId12"/>
            <a:srcRect l="2820" t="3850" r="3118" b="7111"/>
            <a:stretch>
              <a:fillRect/>
            </a:stretch>
          </xdr:blipFill>
          <xdr:spPr bwMode="auto">
            <a:xfrm>
              <a:off x="3648075" y="21213536"/>
              <a:ext cx="1929327" cy="900000"/>
            </a:xfrm>
            <a:prstGeom prst="roundRect">
              <a:avLst>
                <a:gd name="adj" fmla="val 0"/>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69396</xdr:colOff>
          <xdr:row>129</xdr:row>
          <xdr:rowOff>163286</xdr:rowOff>
        </xdr:from>
        <xdr:to>
          <xdr:col>9</xdr:col>
          <xdr:colOff>120938</xdr:colOff>
          <xdr:row>133</xdr:row>
          <xdr:rowOff>234612</xdr:rowOff>
        </xdr:to>
        <xdr:pic>
          <xdr:nvPicPr>
            <xdr:cNvPr id="18" name="Grafik 17">
              <a:extLst>
                <a:ext uri="{FF2B5EF4-FFF2-40B4-BE49-F238E27FC236}">
                  <a16:creationId xmlns:a16="http://schemas.microsoft.com/office/drawing/2014/main" id="{00000000-0008-0000-0800-000012000000}"/>
                </a:ext>
              </a:extLst>
            </xdr:cNvPr>
            <xdr:cNvPicPr>
              <a:picLocks noChangeAspect="1" noChangeArrowheads="1"/>
              <a:extLst>
                <a:ext uri="{84589F7E-364E-4C9E-8A38-B11213B215E9}">
                  <a14:cameraTool cellRange="bild1" spid="_x0000_s107040"/>
                </a:ext>
              </a:extLst>
            </xdr:cNvPicPr>
          </xdr:nvPicPr>
          <xdr:blipFill rotWithShape="1">
            <a:blip xmlns:r="http://schemas.openxmlformats.org/officeDocument/2006/relationships" r:embed="rId12"/>
            <a:srcRect l="2820" t="3850" r="3118" b="7111"/>
            <a:stretch>
              <a:fillRect/>
            </a:stretch>
          </xdr:blipFill>
          <xdr:spPr bwMode="auto">
            <a:xfrm>
              <a:off x="3648075" y="23118536"/>
              <a:ext cx="1929327" cy="901361"/>
            </a:xfrm>
            <a:prstGeom prst="roundRect">
              <a:avLst>
                <a:gd name="adj" fmla="val 0"/>
              </a:avLst>
            </a:prstGeom>
            <a:noFill/>
            <a:ln>
              <a:noFill/>
            </a:ln>
            <a:effectLst/>
          </xdr:spPr>
        </xdr:pic>
        <xdr:clientData/>
      </xdr:twoCellAnchor>
    </mc:Choice>
    <mc:Fallback/>
  </mc:AlternateContent>
  <xdr:twoCellAnchor editAs="oneCell">
    <xdr:from>
      <xdr:col>5</xdr:col>
      <xdr:colOff>672354</xdr:colOff>
      <xdr:row>137</xdr:row>
      <xdr:rowOff>112059</xdr:rowOff>
    </xdr:from>
    <xdr:to>
      <xdr:col>9</xdr:col>
      <xdr:colOff>134472</xdr:colOff>
      <xdr:row>144</xdr:row>
      <xdr:rowOff>86586</xdr:rowOff>
    </xdr:to>
    <xdr:pic>
      <xdr:nvPicPr>
        <xdr:cNvPr id="2" name="Grafik 1" descr="Tronsole® Typ L: Trittschalldämmung Fuge Treppe Wand">
          <a:extLst>
            <a:ext uri="{FF2B5EF4-FFF2-40B4-BE49-F238E27FC236}">
              <a16:creationId xmlns:a16="http://schemas.microsoft.com/office/drawing/2014/main" id="{925B79E4-A30A-40EC-9BBF-3EE9EDAF3ED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742766" y="24563294"/>
          <a:ext cx="2252382" cy="1195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xdr:colOff>
      <xdr:row>1</xdr:row>
      <xdr:rowOff>69782</xdr:rowOff>
    </xdr:from>
    <xdr:to>
      <xdr:col>9</xdr:col>
      <xdr:colOff>212913</xdr:colOff>
      <xdr:row>2</xdr:row>
      <xdr:rowOff>185716</xdr:rowOff>
    </xdr:to>
    <xdr:sp macro="" textlink="">
      <xdr:nvSpPr>
        <xdr:cNvPr id="10" name="Text Placeholder 3">
          <a:hlinkClick xmlns:r="http://schemas.openxmlformats.org/officeDocument/2006/relationships" r:id="rId13"/>
          <a:extLst>
            <a:ext uri="{FF2B5EF4-FFF2-40B4-BE49-F238E27FC236}">
              <a16:creationId xmlns:a16="http://schemas.microsoft.com/office/drawing/2014/main" id="{81FF36A8-D2AD-463B-BC8A-B0C1CE3FE76D}"/>
            </a:ext>
          </a:extLst>
        </xdr:cNvPr>
        <xdr:cNvSpPr>
          <a:spLocks noGrp="1" noChangeAspect="1"/>
        </xdr:cNvSpPr>
      </xdr:nvSpPr>
      <xdr:spPr bwMode="gray">
        <a:xfrm>
          <a:off x="4134972" y="159429"/>
          <a:ext cx="1524000" cy="306434"/>
        </a:xfrm>
        <a:prstGeom prst="rect">
          <a:avLst/>
        </a:prstGeom>
        <a:blipFill dpi="0" rotWithShape="1">
          <a:blip xmlns:r="http://schemas.openxmlformats.org/officeDocument/2006/relationships" r:embed="rId14" cstate="screen">
            <a:extLst>
              <a:ext uri="{28A0092B-C50C-407E-A947-70E740481C1C}">
                <a14:useLocalDpi xmlns:a14="http://schemas.microsoft.com/office/drawing/2010/main"/>
              </a:ext>
            </a:extLst>
          </a:blip>
          <a:srcRect/>
          <a:stretch>
            <a:fillRect/>
          </a:stretch>
        </a:blipFill>
      </xdr:spPr>
      <xdr:txBody>
        <a:bodyPr vert="horz" wrap="square" lIns="0" tIns="0" rIns="0" bIns="0" rtlCol="0">
          <a:noAutofit/>
        </a:bodyPr>
        <a:lstStyle>
          <a:lvl1pPr marL="0" indent="0" algn="l" defTabSz="914400" rtl="0" eaLnBrk="1" latinLnBrk="0" hangingPunct="1">
            <a:lnSpc>
              <a:spcPct val="110000"/>
            </a:lnSpc>
            <a:spcBef>
              <a:spcPts val="0"/>
            </a:spcBef>
            <a:spcAft>
              <a:spcPts val="1000"/>
            </a:spcAft>
            <a:buClr>
              <a:schemeClr val="accent2"/>
            </a:buClr>
            <a:buSzPct val="100000"/>
            <a:buFont typeface="Wingdings" panose="05000000000000000000" pitchFamily="2" charset="2"/>
            <a:buNone/>
            <a:defRPr sz="1800" kern="1200">
              <a:solidFill>
                <a:schemeClr val="tx1"/>
              </a:solidFill>
              <a:latin typeface="+mn-lt"/>
              <a:ea typeface="+mn-ea"/>
              <a:cs typeface="+mn-cs"/>
            </a:defRPr>
          </a:lvl1pPr>
          <a:lvl2pPr marL="72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600" kern="1200">
              <a:solidFill>
                <a:schemeClr val="tx1"/>
              </a:solidFill>
              <a:latin typeface="+mn-lt"/>
              <a:ea typeface="+mn-ea"/>
              <a:cs typeface="+mn-cs"/>
            </a:defRPr>
          </a:lvl2pPr>
          <a:lvl3pPr marL="108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400" kern="1200">
              <a:solidFill>
                <a:schemeClr val="tx1"/>
              </a:solidFill>
              <a:latin typeface="+mn-lt"/>
              <a:ea typeface="+mn-ea"/>
              <a:cs typeface="+mn-cs"/>
            </a:defRPr>
          </a:lvl3pPr>
          <a:lvl4pPr marL="144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200" kern="1200">
              <a:solidFill>
                <a:schemeClr val="tx1"/>
              </a:solidFill>
              <a:latin typeface="+mn-lt"/>
              <a:ea typeface="+mn-ea"/>
              <a:cs typeface="+mn-cs"/>
            </a:defRPr>
          </a:lvl4pPr>
          <a:lvl5pPr marL="180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000" kern="1200">
              <a:solidFill>
                <a:schemeClr val="tx1"/>
              </a:solidFill>
              <a:latin typeface="+mn-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95249</xdr:colOff>
          <xdr:row>82</xdr:row>
          <xdr:rowOff>27215</xdr:rowOff>
        </xdr:from>
        <xdr:to>
          <xdr:col>9</xdr:col>
          <xdr:colOff>283868</xdr:colOff>
          <xdr:row>102</xdr:row>
          <xdr:rowOff>209955</xdr:rowOff>
        </xdr:to>
        <xdr:pic>
          <xdr:nvPicPr>
            <xdr:cNvPr id="4" name="Grafik 3">
              <a:extLst>
                <a:ext uri="{FF2B5EF4-FFF2-40B4-BE49-F238E27FC236}">
                  <a16:creationId xmlns:a16="http://schemas.microsoft.com/office/drawing/2014/main" id="{3576D073-EF7E-4F5A-B327-CFB4EE6BCFF0}"/>
                </a:ext>
              </a:extLst>
            </xdr:cNvPr>
            <xdr:cNvPicPr preferRelativeResize="0">
              <a:picLocks noChangeAspect="1" noChangeArrowheads="1"/>
              <a:extLst>
                <a:ext uri="{84589F7E-364E-4C9E-8A38-B11213B215E9}">
                  <a14:cameraTool cellRange="BildauswahlLauf" spid="_x0000_s107041"/>
                </a:ext>
              </a:extLst>
            </xdr:cNvPicPr>
          </xdr:nvPicPr>
          <xdr:blipFill rotWithShape="1">
            <a:blip xmlns:r="http://schemas.openxmlformats.org/officeDocument/2006/relationships" r:embed="rId15"/>
            <a:srcRect l="2010" t="5547" r="2100" b="5664"/>
            <a:stretch>
              <a:fillRect/>
            </a:stretch>
          </xdr:blipFill>
          <xdr:spPr bwMode="auto">
            <a:xfrm>
              <a:off x="95249" y="19431001"/>
              <a:ext cx="5645083" cy="5081311"/>
            </a:xfrm>
            <a:prstGeom prst="roundRect">
              <a:avLst>
                <a:gd name="adj" fmla="val 0"/>
              </a:avLst>
            </a:prstGeom>
            <a:noFill/>
            <a:ln>
              <a:noFill/>
            </a:ln>
            <a:effectLst/>
          </xdr:spPr>
        </xdr:pic>
        <xdr:clientData/>
      </xdr:twoCellAnchor>
    </mc:Choice>
    <mc:Fallback/>
  </mc:AlternateContent>
  <xdr:twoCellAnchor editAs="oneCell">
    <xdr:from>
      <xdr:col>8</xdr:col>
      <xdr:colOff>358589</xdr:colOff>
      <xdr:row>107</xdr:row>
      <xdr:rowOff>156882</xdr:rowOff>
    </xdr:from>
    <xdr:to>
      <xdr:col>9</xdr:col>
      <xdr:colOff>231624</xdr:colOff>
      <xdr:row>109</xdr:row>
      <xdr:rowOff>35703</xdr:rowOff>
    </xdr:to>
    <xdr:pic>
      <xdr:nvPicPr>
        <xdr:cNvPr id="7" name="Grafik 6">
          <a:extLst>
            <a:ext uri="{FF2B5EF4-FFF2-40B4-BE49-F238E27FC236}">
              <a16:creationId xmlns:a16="http://schemas.microsoft.com/office/drawing/2014/main" id="{FA803D3E-4FA7-4D41-BB15-45950274268A}"/>
            </a:ext>
          </a:extLst>
        </xdr:cNvPr>
        <xdr:cNvPicPr>
          <a:picLocks noChangeAspect="1"/>
        </xdr:cNvPicPr>
      </xdr:nvPicPr>
      <xdr:blipFill>
        <a:blip xmlns:r="http://schemas.openxmlformats.org/officeDocument/2006/relationships" r:embed="rId16"/>
        <a:stretch>
          <a:fillRect/>
        </a:stretch>
      </xdr:blipFill>
      <xdr:spPr>
        <a:xfrm>
          <a:off x="5210736" y="25493382"/>
          <a:ext cx="466947" cy="3718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63500</xdr:colOff>
          <xdr:row>121</xdr:row>
          <xdr:rowOff>152400</xdr:rowOff>
        </xdr:from>
        <xdr:to>
          <xdr:col>9</xdr:col>
          <xdr:colOff>114300</xdr:colOff>
          <xdr:row>125</xdr:row>
          <xdr:rowOff>254000</xdr:rowOff>
        </xdr:to>
        <xdr:pic>
          <xdr:nvPicPr>
            <xdr:cNvPr id="106979" name="Grafik 15">
              <a:extLst>
                <a:ext uri="{FF2B5EF4-FFF2-40B4-BE49-F238E27FC236}">
                  <a16:creationId xmlns:a16="http://schemas.microsoft.com/office/drawing/2014/main" id="{4F7CF0C2-8E5A-7793-2910-10DD3B07F281}"/>
                </a:ext>
              </a:extLst>
            </xdr:cNvPr>
            <xdr:cNvPicPr>
              <a:picLocks noChangeAspect="1" noChangeArrowheads="1"/>
              <a:extLst>
                <a:ext uri="{84589F7E-364E-4C9E-8A38-B11213B215E9}">
                  <a14:cameraTool cellRange="bild2" spid="_x0000_s107042"/>
                </a:ext>
              </a:extLst>
            </xdr:cNvPicPr>
          </xdr:nvPicPr>
          <xdr:blipFill>
            <a:blip xmlns:r="http://schemas.openxmlformats.org/officeDocument/2006/relationships" r:embed="rId12"/>
            <a:srcRect/>
            <a:stretch>
              <a:fillRect/>
            </a:stretch>
          </xdr:blipFill>
          <xdr:spPr bwMode="auto">
            <a:xfrm>
              <a:off x="3803650" y="29229050"/>
              <a:ext cx="2012950" cy="9017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43354</xdr:colOff>
          <xdr:row>45</xdr:row>
          <xdr:rowOff>9937</xdr:rowOff>
        </xdr:from>
        <xdr:to>
          <xdr:col>9</xdr:col>
          <xdr:colOff>397925</xdr:colOff>
          <xdr:row>48</xdr:row>
          <xdr:rowOff>44263</xdr:rowOff>
        </xdr:to>
        <xdr:pic>
          <xdr:nvPicPr>
            <xdr:cNvPr id="3" name="Grafik 2">
              <a:extLst>
                <a:ext uri="{FF2B5EF4-FFF2-40B4-BE49-F238E27FC236}">
                  <a16:creationId xmlns:a16="http://schemas.microsoft.com/office/drawing/2014/main" id="{00000000-0008-0000-0900-000003000000}"/>
                </a:ext>
              </a:extLst>
            </xdr:cNvPr>
            <xdr:cNvPicPr>
              <a:picLocks noChangeAspect="1" noChangeArrowheads="1"/>
              <a:extLst>
                <a:ext uri="{84589F7E-364E-4C9E-8A38-B11213B215E9}">
                  <a14:cameraTool cellRange="bild3" spid="_x0000_s131365"/>
                </a:ext>
              </a:extLst>
            </xdr:cNvPicPr>
          </xdr:nvPicPr>
          <xdr:blipFill rotWithShape="1">
            <a:blip xmlns:r="http://schemas.openxmlformats.org/officeDocument/2006/relationships" r:embed="rId1"/>
            <a:srcRect l="2010" t="5547" r="2100" b="5664"/>
            <a:stretch>
              <a:fillRect/>
            </a:stretch>
          </xdr:blipFill>
          <xdr:spPr bwMode="auto">
            <a:xfrm>
              <a:off x="3147383" y="8291084"/>
              <a:ext cx="1082954" cy="605826"/>
            </a:xfrm>
            <a:prstGeom prst="roundRect">
              <a:avLst>
                <a:gd name="adj" fmla="val 0"/>
              </a:avLst>
            </a:prstGeom>
            <a:noFill/>
            <a:ln>
              <a:noFill/>
            </a:ln>
            <a:effec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18194</xdr:colOff>
          <xdr:row>51</xdr:row>
          <xdr:rowOff>9937</xdr:rowOff>
        </xdr:from>
        <xdr:to>
          <xdr:col>9</xdr:col>
          <xdr:colOff>372763</xdr:colOff>
          <xdr:row>54</xdr:row>
          <xdr:rowOff>44263</xdr:rowOff>
        </xdr:to>
        <xdr:pic>
          <xdr:nvPicPr>
            <xdr:cNvPr id="4" name="Grafik 3">
              <a:extLst>
                <a:ext uri="{FF2B5EF4-FFF2-40B4-BE49-F238E27FC236}">
                  <a16:creationId xmlns:a16="http://schemas.microsoft.com/office/drawing/2014/main" id="{00000000-0008-0000-0900-000004000000}"/>
                </a:ext>
              </a:extLst>
            </xdr:cNvPr>
            <xdr:cNvPicPr>
              <a:picLocks noChangeAspect="1" noChangeArrowheads="1"/>
              <a:extLst>
                <a:ext uri="{84589F7E-364E-4C9E-8A38-B11213B215E9}">
                  <a14:cameraTool cellRange="bild3" spid="_x0000_s131366"/>
                </a:ext>
              </a:extLst>
            </xdr:cNvPicPr>
          </xdr:nvPicPr>
          <xdr:blipFill rotWithShape="1">
            <a:blip xmlns:r="http://schemas.openxmlformats.org/officeDocument/2006/relationships" r:embed="rId2"/>
            <a:srcRect l="2167" t="4355" r="2519" b="3939"/>
            <a:stretch>
              <a:fillRect/>
            </a:stretch>
          </xdr:blipFill>
          <xdr:spPr bwMode="auto">
            <a:xfrm>
              <a:off x="3122223" y="9434084"/>
              <a:ext cx="1082952" cy="605826"/>
            </a:xfrm>
            <a:prstGeom prst="rect">
              <a:avLst/>
            </a:prstGeom>
            <a:noFill/>
            <a:ln>
              <a:noFill/>
            </a:ln>
          </xdr:spPr>
        </xdr:pic>
        <xdr:clientData/>
      </xdr:twoCellAnchor>
    </mc:Choice>
    <mc:Fallback/>
  </mc:AlternateContent>
  <xdr:twoCellAnchor editAs="oneCell">
    <xdr:from>
      <xdr:col>1</xdr:col>
      <xdr:colOff>881</xdr:colOff>
      <xdr:row>0</xdr:row>
      <xdr:rowOff>22413</xdr:rowOff>
    </xdr:from>
    <xdr:to>
      <xdr:col>2</xdr:col>
      <xdr:colOff>306069</xdr:colOff>
      <xdr:row>3</xdr:row>
      <xdr:rowOff>8283</xdr:rowOff>
    </xdr:to>
    <xdr:pic>
      <xdr:nvPicPr>
        <xdr:cNvPr id="6" name="Grafik 5" descr="Zurück mit einfarbiger Füllung">
          <a:hlinkClick xmlns:r="http://schemas.openxmlformats.org/officeDocument/2006/relationships" r:id="rId3"/>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49968" y="22413"/>
          <a:ext cx="545384" cy="557370"/>
        </a:xfrm>
        <a:prstGeom prst="rect">
          <a:avLst/>
        </a:prstGeom>
        <a:solidFill>
          <a:schemeClr val="bg1">
            <a:lumMod val="95000"/>
          </a:schemeClr>
        </a:solidFill>
        <a:effectLst/>
      </xdr:spPr>
    </xdr:pic>
    <xdr:clientData/>
  </xdr:twoCellAnchor>
  <mc:AlternateContent xmlns:mc="http://schemas.openxmlformats.org/markup-compatibility/2006">
    <mc:Choice xmlns:a14="http://schemas.microsoft.com/office/drawing/2010/main" Requires="a14">
      <xdr:twoCellAnchor editAs="oneCell">
        <xdr:from>
          <xdr:col>13</xdr:col>
          <xdr:colOff>459442</xdr:colOff>
          <xdr:row>0</xdr:row>
          <xdr:rowOff>44822</xdr:rowOff>
        </xdr:from>
        <xdr:to>
          <xdr:col>20</xdr:col>
          <xdr:colOff>39442</xdr:colOff>
          <xdr:row>30</xdr:row>
          <xdr:rowOff>112234</xdr:rowOff>
        </xdr:to>
        <xdr:pic>
          <xdr:nvPicPr>
            <xdr:cNvPr id="8" name="Grafik 7">
              <a:extLst>
                <a:ext uri="{FF2B5EF4-FFF2-40B4-BE49-F238E27FC236}">
                  <a16:creationId xmlns:a16="http://schemas.microsoft.com/office/drawing/2014/main" id="{A003EA2D-933E-4585-A74F-78F5EC9B3072}"/>
                </a:ext>
              </a:extLst>
            </xdr:cNvPr>
            <xdr:cNvPicPr preferRelativeResize="0">
              <a:picLocks noChangeAspect="1" noChangeArrowheads="1"/>
              <a:extLst>
                <a:ext uri="{84589F7E-364E-4C9E-8A38-B11213B215E9}">
                  <a14:cameraTool cellRange="BildauswahlPodest" spid="_x0000_s131367"/>
                </a:ext>
              </a:extLst>
            </xdr:cNvPicPr>
          </xdr:nvPicPr>
          <xdr:blipFill rotWithShape="1">
            <a:blip xmlns:r="http://schemas.openxmlformats.org/officeDocument/2006/relationships" r:embed="rId6"/>
            <a:srcRect l="2010" t="5547" r="2100" b="5664"/>
            <a:stretch>
              <a:fillRect/>
            </a:stretch>
          </xdr:blipFill>
          <xdr:spPr bwMode="auto">
            <a:xfrm>
              <a:off x="6252883" y="44822"/>
              <a:ext cx="4914000" cy="5760000"/>
            </a:xfrm>
            <a:prstGeom prst="roundRect">
              <a:avLst>
                <a:gd name="adj" fmla="val 0"/>
              </a:avLst>
            </a:prstGeom>
            <a:noFill/>
            <a:ln>
              <a:noFill/>
            </a:ln>
            <a:effectLst/>
          </xdr:spPr>
        </xdr:pic>
        <xdr:clientData/>
      </xdr:twoCellAnchor>
    </mc:Choice>
    <mc:Fallback/>
  </mc:AlternateContent>
  <xdr:twoCellAnchor>
    <xdr:from>
      <xdr:col>9</xdr:col>
      <xdr:colOff>246529</xdr:colOff>
      <xdr:row>1</xdr:row>
      <xdr:rowOff>0</xdr:rowOff>
    </xdr:from>
    <xdr:to>
      <xdr:col>12</xdr:col>
      <xdr:colOff>224117</xdr:colOff>
      <xdr:row>2</xdr:row>
      <xdr:rowOff>115934</xdr:rowOff>
    </xdr:to>
    <xdr:sp macro="" textlink="">
      <xdr:nvSpPr>
        <xdr:cNvPr id="9" name="Text Placeholder 3">
          <a:hlinkClick xmlns:r="http://schemas.openxmlformats.org/officeDocument/2006/relationships" r:id="rId7"/>
          <a:extLst>
            <a:ext uri="{FF2B5EF4-FFF2-40B4-BE49-F238E27FC236}">
              <a16:creationId xmlns:a16="http://schemas.microsoft.com/office/drawing/2014/main" id="{F416AA4B-394B-4447-B508-5213D84DE5BB}"/>
            </a:ext>
          </a:extLst>
        </xdr:cNvPr>
        <xdr:cNvSpPr>
          <a:spLocks noGrp="1" noChangeAspect="1"/>
        </xdr:cNvSpPr>
      </xdr:nvSpPr>
      <xdr:spPr bwMode="gray">
        <a:xfrm>
          <a:off x="4078941" y="190500"/>
          <a:ext cx="1524000" cy="306434"/>
        </a:xfrm>
        <a:prstGeom prst="rect">
          <a:avLst/>
        </a:prstGeom>
        <a:blipFill dpi="0" rotWithShape="1">
          <a:blip xmlns:r="http://schemas.openxmlformats.org/officeDocument/2006/relationships" r:embed="rId8" cstate="screen">
            <a:extLst>
              <a:ext uri="{28A0092B-C50C-407E-A947-70E740481C1C}">
                <a14:useLocalDpi xmlns:a14="http://schemas.microsoft.com/office/drawing/2010/main"/>
              </a:ext>
            </a:extLst>
          </a:blip>
          <a:srcRect/>
          <a:stretch>
            <a:fillRect/>
          </a:stretch>
        </a:blipFill>
      </xdr:spPr>
      <xdr:txBody>
        <a:bodyPr vert="horz" wrap="square" lIns="0" tIns="0" rIns="0" bIns="0" rtlCol="0">
          <a:noAutofit/>
        </a:bodyPr>
        <a:lstStyle>
          <a:lvl1pPr marL="0" indent="0" algn="l" defTabSz="914400" rtl="0" eaLnBrk="1" latinLnBrk="0" hangingPunct="1">
            <a:lnSpc>
              <a:spcPct val="110000"/>
            </a:lnSpc>
            <a:spcBef>
              <a:spcPts val="0"/>
            </a:spcBef>
            <a:spcAft>
              <a:spcPts val="1000"/>
            </a:spcAft>
            <a:buClr>
              <a:schemeClr val="accent2"/>
            </a:buClr>
            <a:buSzPct val="100000"/>
            <a:buFont typeface="Wingdings" panose="05000000000000000000" pitchFamily="2" charset="2"/>
            <a:buNone/>
            <a:defRPr sz="1800" kern="1200">
              <a:solidFill>
                <a:schemeClr val="tx1"/>
              </a:solidFill>
              <a:latin typeface="+mn-lt"/>
              <a:ea typeface="+mn-ea"/>
              <a:cs typeface="+mn-cs"/>
            </a:defRPr>
          </a:lvl1pPr>
          <a:lvl2pPr marL="72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600" kern="1200">
              <a:solidFill>
                <a:schemeClr val="tx1"/>
              </a:solidFill>
              <a:latin typeface="+mn-lt"/>
              <a:ea typeface="+mn-ea"/>
              <a:cs typeface="+mn-cs"/>
            </a:defRPr>
          </a:lvl2pPr>
          <a:lvl3pPr marL="108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400" kern="1200">
              <a:solidFill>
                <a:schemeClr val="tx1"/>
              </a:solidFill>
              <a:latin typeface="+mn-lt"/>
              <a:ea typeface="+mn-ea"/>
              <a:cs typeface="+mn-cs"/>
            </a:defRPr>
          </a:lvl3pPr>
          <a:lvl4pPr marL="144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200" kern="1200">
              <a:solidFill>
                <a:schemeClr val="tx1"/>
              </a:solidFill>
              <a:latin typeface="+mn-lt"/>
              <a:ea typeface="+mn-ea"/>
              <a:cs typeface="+mn-cs"/>
            </a:defRPr>
          </a:lvl4pPr>
          <a:lvl5pPr marL="180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000" kern="1200">
              <a:solidFill>
                <a:schemeClr val="tx1"/>
              </a:solidFill>
              <a:latin typeface="+mn-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endParaRPr lang="en-US"/>
        </a:p>
      </xdr:txBody>
    </xdr:sp>
    <xdr:clientData/>
  </xdr:twoCellAnchor>
  <xdr:twoCellAnchor editAs="oneCell">
    <xdr:from>
      <xdr:col>16</xdr:col>
      <xdr:colOff>321467</xdr:colOff>
      <xdr:row>54</xdr:row>
      <xdr:rowOff>19489</xdr:rowOff>
    </xdr:from>
    <xdr:to>
      <xdr:col>17</xdr:col>
      <xdr:colOff>235541</xdr:colOff>
      <xdr:row>57</xdr:row>
      <xdr:rowOff>124063</xdr:rowOff>
    </xdr:to>
    <xdr:pic>
      <xdr:nvPicPr>
        <xdr:cNvPr id="7" name="Grafik 6" descr="Drucker mit einfarbiger Füllung">
          <a:hlinkClick xmlns:r="http://schemas.openxmlformats.org/officeDocument/2006/relationships" r:id="rId9"/>
          <a:extLst>
            <a:ext uri="{FF2B5EF4-FFF2-40B4-BE49-F238E27FC236}">
              <a16:creationId xmlns:a16="http://schemas.microsoft.com/office/drawing/2014/main" id="{94CF954D-7496-3BE4-F61D-8FB2ACC4C5B7}"/>
            </a:ext>
          </a:extLst>
        </xdr:cNvPr>
        <xdr:cNvPicPr>
          <a:picLocks noChangeAspect="1"/>
        </xdr:cNvPicPr>
      </xdr:nvPicPr>
      <xdr:blipFill>
        <a:blip xmlns:r="http://schemas.openxmlformats.org/officeDocument/2006/relationships" r:embed="rId10">
          <a:alphaModFix/>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8400908" y="10015136"/>
          <a:ext cx="676074" cy="676074"/>
        </a:xfrm>
        <a:prstGeom prst="rect">
          <a:avLst/>
        </a:prstGeom>
        <a:noFill/>
        <a:effectLst>
          <a:outerShdw blurRad="25400" dist="6350" dir="5400000" algn="t" rotWithShape="0">
            <a:prstClr val="black">
              <a:alpha val="40000"/>
            </a:prstClr>
          </a:outerShdw>
          <a:softEdge rad="0"/>
        </a:effectLst>
      </xdr:spPr>
    </xdr:pic>
    <xdr:clientData/>
  </xdr:twoCellAnchor>
  <xdr:twoCellAnchor editAs="oneCell">
    <xdr:from>
      <xdr:col>19</xdr:col>
      <xdr:colOff>704850</xdr:colOff>
      <xdr:row>28</xdr:row>
      <xdr:rowOff>104547</xdr:rowOff>
    </xdr:from>
    <xdr:to>
      <xdr:col>20</xdr:col>
      <xdr:colOff>409797</xdr:colOff>
      <xdr:row>30</xdr:row>
      <xdr:rowOff>57327</xdr:rowOff>
    </xdr:to>
    <xdr:pic>
      <xdr:nvPicPr>
        <xdr:cNvPr id="5" name="Grafik 4">
          <a:extLst>
            <a:ext uri="{FF2B5EF4-FFF2-40B4-BE49-F238E27FC236}">
              <a16:creationId xmlns:a16="http://schemas.microsoft.com/office/drawing/2014/main" id="{1F6529CE-A30D-D258-1217-29EA5ECEC1F2}"/>
            </a:ext>
          </a:extLst>
        </xdr:cNvPr>
        <xdr:cNvPicPr>
          <a:picLocks noChangeAspect="1"/>
        </xdr:cNvPicPr>
      </xdr:nvPicPr>
      <xdr:blipFill>
        <a:blip xmlns:r="http://schemas.openxmlformats.org/officeDocument/2006/relationships" r:embed="rId12"/>
        <a:stretch>
          <a:fillRect/>
        </a:stretch>
      </xdr:blipFill>
      <xdr:spPr>
        <a:xfrm>
          <a:off x="11087100" y="5390922"/>
          <a:ext cx="466947" cy="3718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38100</xdr:colOff>
          <xdr:row>45</xdr:row>
          <xdr:rowOff>12700</xdr:rowOff>
        </xdr:from>
        <xdr:to>
          <xdr:col>9</xdr:col>
          <xdr:colOff>400050</xdr:colOff>
          <xdr:row>48</xdr:row>
          <xdr:rowOff>44450</xdr:rowOff>
        </xdr:to>
        <xdr:pic>
          <xdr:nvPicPr>
            <xdr:cNvPr id="131272" name="Grafik 2">
              <a:extLst>
                <a:ext uri="{FF2B5EF4-FFF2-40B4-BE49-F238E27FC236}">
                  <a16:creationId xmlns:a16="http://schemas.microsoft.com/office/drawing/2014/main" id="{9A59601D-72B1-F79A-F41C-934B2E44B6C0}"/>
                </a:ext>
              </a:extLst>
            </xdr:cNvPr>
            <xdr:cNvPicPr>
              <a:picLocks noChangeAspect="1" noChangeArrowheads="1"/>
              <a:extLst>
                <a:ext uri="{84589F7E-364E-4C9E-8A38-B11213B215E9}">
                  <a14:cameraTool cellRange="bild3" spid="_x0000_s131368"/>
                </a:ext>
              </a:extLst>
            </xdr:cNvPicPr>
          </xdr:nvPicPr>
          <xdr:blipFill>
            <a:blip xmlns:r="http://schemas.openxmlformats.org/officeDocument/2006/relationships" r:embed="rId1"/>
            <a:srcRect/>
            <a:stretch>
              <a:fillRect/>
            </a:stretch>
          </xdr:blipFill>
          <xdr:spPr bwMode="auto">
            <a:xfrm>
              <a:off x="3282950" y="8089900"/>
              <a:ext cx="1130300" cy="590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12700</xdr:rowOff>
        </xdr:from>
        <xdr:to>
          <xdr:col>9</xdr:col>
          <xdr:colOff>374650</xdr:colOff>
          <xdr:row>54</xdr:row>
          <xdr:rowOff>44450</xdr:rowOff>
        </xdr:to>
        <xdr:pic>
          <xdr:nvPicPr>
            <xdr:cNvPr id="131273" name="Grafik 3">
              <a:extLst>
                <a:ext uri="{FF2B5EF4-FFF2-40B4-BE49-F238E27FC236}">
                  <a16:creationId xmlns:a16="http://schemas.microsoft.com/office/drawing/2014/main" id="{ECF74C95-1B62-BC30-FD26-0CD662F79092}"/>
                </a:ext>
              </a:extLst>
            </xdr:cNvPr>
            <xdr:cNvPicPr>
              <a:picLocks noChangeAspect="1" noChangeArrowheads="1"/>
              <a:extLst>
                <a:ext uri="{84589F7E-364E-4C9E-8A38-B11213B215E9}">
                  <a14:cameraTool cellRange="bild3" spid="_x0000_s131369"/>
                </a:ext>
              </a:extLst>
            </xdr:cNvPicPr>
          </xdr:nvPicPr>
          <xdr:blipFill>
            <a:blip xmlns:r="http://schemas.openxmlformats.org/officeDocument/2006/relationships" r:embed="rId13"/>
            <a:srcRect l="2167" t="4355" r="2519" b="3938"/>
            <a:stretch>
              <a:fillRect/>
            </a:stretch>
          </xdr:blipFill>
          <xdr:spPr bwMode="auto">
            <a:xfrm>
              <a:off x="3263900" y="9201150"/>
              <a:ext cx="1123950" cy="584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457200</xdr:colOff>
          <xdr:row>0</xdr:row>
          <xdr:rowOff>44450</xdr:rowOff>
        </xdr:from>
        <xdr:to>
          <xdr:col>20</xdr:col>
          <xdr:colOff>38100</xdr:colOff>
          <xdr:row>30</xdr:row>
          <xdr:rowOff>114300</xdr:rowOff>
        </xdr:to>
        <xdr:pic>
          <xdr:nvPicPr>
            <xdr:cNvPr id="131274" name="Grafik 7">
              <a:extLst>
                <a:ext uri="{FF2B5EF4-FFF2-40B4-BE49-F238E27FC236}">
                  <a16:creationId xmlns:a16="http://schemas.microsoft.com/office/drawing/2014/main" id="{B6AD68FE-4F99-630B-257A-85D06D4DA94B}"/>
                </a:ext>
              </a:extLst>
            </xdr:cNvPr>
            <xdr:cNvPicPr>
              <a:picLocks noChangeAspect="1" noChangeArrowheads="1"/>
              <a:extLst>
                <a:ext uri="{84589F7E-364E-4C9E-8A38-B11213B215E9}">
                  <a14:cameraTool cellRange="BildauswahlPodest" spid="_x0000_s131370"/>
                </a:ext>
              </a:extLst>
            </xdr:cNvPicPr>
          </xdr:nvPicPr>
          <xdr:blipFill>
            <a:blip xmlns:r="http://schemas.openxmlformats.org/officeDocument/2006/relationships" r:embed="rId6"/>
            <a:srcRect/>
            <a:stretch>
              <a:fillRect/>
            </a:stretch>
          </xdr:blipFill>
          <xdr:spPr bwMode="auto">
            <a:xfrm>
              <a:off x="6534150" y="44450"/>
              <a:ext cx="5181600" cy="5613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118</xdr:row>
          <xdr:rowOff>114929</xdr:rowOff>
        </xdr:from>
        <xdr:to>
          <xdr:col>10</xdr:col>
          <xdr:colOff>350592</xdr:colOff>
          <xdr:row>124</xdr:row>
          <xdr:rowOff>140072</xdr:rowOff>
        </xdr:to>
        <xdr:pic>
          <xdr:nvPicPr>
            <xdr:cNvPr id="13" name="Grafik 12">
              <a:extLst>
                <a:ext uri="{FF2B5EF4-FFF2-40B4-BE49-F238E27FC236}">
                  <a16:creationId xmlns:a16="http://schemas.microsoft.com/office/drawing/2014/main" id="{00000000-0008-0000-0C00-00000D000000}"/>
                </a:ext>
              </a:extLst>
            </xdr:cNvPr>
            <xdr:cNvPicPr>
              <a:picLocks noChangeAspect="1" noChangeArrowheads="1"/>
              <a:extLst>
                <a:ext uri="{84589F7E-364E-4C9E-8A38-B11213B215E9}">
                  <a14:cameraTool cellRange="bild3" spid="_x0000_s140392"/>
                </a:ext>
              </a:extLst>
            </xdr:cNvPicPr>
          </xdr:nvPicPr>
          <xdr:blipFill rotWithShape="1">
            <a:blip xmlns:r="http://schemas.openxmlformats.org/officeDocument/2006/relationships" r:embed="rId1"/>
            <a:srcRect l="2820" t="3850" r="3118" b="7111"/>
            <a:stretch>
              <a:fillRect/>
            </a:stretch>
          </xdr:blipFill>
          <xdr:spPr bwMode="auto">
            <a:xfrm>
              <a:off x="3673929" y="20022179"/>
              <a:ext cx="2500520" cy="1399464"/>
            </a:xfrm>
            <a:prstGeom prst="roundRect">
              <a:avLst>
                <a:gd name="adj" fmla="val 0"/>
              </a:avLst>
            </a:prstGeom>
            <a:noFill/>
            <a:ln>
              <a:noFill/>
            </a:ln>
            <a:effectLst/>
          </xdr:spPr>
        </xdr:pic>
        <xdr:clientData/>
      </xdr:twoCellAnchor>
    </mc:Choice>
    <mc:Fallback/>
  </mc:AlternateContent>
  <xdr:twoCellAnchor editAs="oneCell">
    <xdr:from>
      <xdr:col>1</xdr:col>
      <xdr:colOff>47625</xdr:colOff>
      <xdr:row>18</xdr:row>
      <xdr:rowOff>82374</xdr:rowOff>
    </xdr:from>
    <xdr:to>
      <xdr:col>3</xdr:col>
      <xdr:colOff>388283</xdr:colOff>
      <xdr:row>19</xdr:row>
      <xdr:rowOff>847557</xdr:rowOff>
    </xdr:to>
    <xdr:pic>
      <xdr:nvPicPr>
        <xdr:cNvPr id="5" name="Grafik 4" descr="Tronsole® Typ T: Trittschalldämmung Treppenlauf Podest">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3720924"/>
          <a:ext cx="1657349" cy="93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19</xdr:row>
      <xdr:rowOff>866774</xdr:rowOff>
    </xdr:from>
    <xdr:to>
      <xdr:col>3</xdr:col>
      <xdr:colOff>362021</xdr:colOff>
      <xdr:row>20</xdr:row>
      <xdr:rowOff>829221</xdr:rowOff>
    </xdr:to>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stretch>
          <a:fillRect/>
        </a:stretch>
      </xdr:blipFill>
      <xdr:spPr>
        <a:xfrm>
          <a:off x="304800" y="4676774"/>
          <a:ext cx="1516787" cy="857795"/>
        </a:xfrm>
        <a:prstGeom prst="rect">
          <a:avLst/>
        </a:prstGeom>
      </xdr:spPr>
    </xdr:pic>
    <xdr:clientData/>
  </xdr:twoCellAnchor>
  <xdr:twoCellAnchor editAs="oneCell">
    <xdr:from>
      <xdr:col>1</xdr:col>
      <xdr:colOff>374789</xdr:colOff>
      <xdr:row>21</xdr:row>
      <xdr:rowOff>143204</xdr:rowOff>
    </xdr:from>
    <xdr:to>
      <xdr:col>3</xdr:col>
      <xdr:colOff>138989</xdr:colOff>
      <xdr:row>21</xdr:row>
      <xdr:rowOff>762000</xdr:rowOff>
    </xdr:to>
    <xdr:pic>
      <xdr:nvPicPr>
        <xdr:cNvPr id="7" name="Grafik 6" descr="Schöck Tronsole® Typ B und D">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664" y="5743904"/>
          <a:ext cx="1080891" cy="618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22</xdr:row>
      <xdr:rowOff>47624</xdr:rowOff>
    </xdr:from>
    <xdr:to>
      <xdr:col>3</xdr:col>
      <xdr:colOff>294043</xdr:colOff>
      <xdr:row>22</xdr:row>
      <xdr:rowOff>847725</xdr:rowOff>
    </xdr:to>
    <xdr:pic>
      <xdr:nvPicPr>
        <xdr:cNvPr id="8" name="Grafik 7" descr="Tronsole® Typ L: Trittschalldämmung Fuge Treppe Wand">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 y="6543674"/>
          <a:ext cx="1401184" cy="800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19</xdr:row>
      <xdr:rowOff>830036</xdr:rowOff>
    </xdr:from>
    <xdr:to>
      <xdr:col>7</xdr:col>
      <xdr:colOff>590348</xdr:colOff>
      <xdr:row>21</xdr:row>
      <xdr:rowOff>172812</xdr:rowOff>
    </xdr:to>
    <xdr:pic>
      <xdr:nvPicPr>
        <xdr:cNvPr id="9" name="Grafik 8" descr="Tronsole® Typ P: Trittschalldämmung Podest und Wand">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52750" y="4640036"/>
          <a:ext cx="1876224"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171450</xdr:colOff>
      <xdr:row>21</xdr:row>
      <xdr:rowOff>66675</xdr:rowOff>
    </xdr:from>
    <xdr:to>
      <xdr:col>7</xdr:col>
      <xdr:colOff>261158</xdr:colOff>
      <xdr:row>22</xdr:row>
      <xdr:rowOff>1794</xdr:rowOff>
    </xdr:to>
    <xdr:pic>
      <xdr:nvPicPr>
        <xdr:cNvPr id="10" name="Grafik 9" descr="Tronsole® Typ Z: Trittschalldämmung Podest und Wand">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171825" y="5667375"/>
          <a:ext cx="1372782" cy="824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18</xdr:row>
      <xdr:rowOff>99333</xdr:rowOff>
    </xdr:from>
    <xdr:to>
      <xdr:col>7</xdr:col>
      <xdr:colOff>327535</xdr:colOff>
      <xdr:row>20</xdr:row>
      <xdr:rowOff>12784</xdr:rowOff>
    </xdr:to>
    <xdr:pic>
      <xdr:nvPicPr>
        <xdr:cNvPr id="11" name="Grafik 10" descr="Tronsole® Typ Q: Trittschalldämmung gewendelter Lauf ">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0" y="3737883"/>
          <a:ext cx="1613411" cy="980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94562</xdr:colOff>
          <xdr:row>126</xdr:row>
          <xdr:rowOff>114929</xdr:rowOff>
        </xdr:from>
        <xdr:to>
          <xdr:col>10</xdr:col>
          <xdr:colOff>342180</xdr:colOff>
          <xdr:row>132</xdr:row>
          <xdr:rowOff>208107</xdr:rowOff>
        </xdr:to>
        <xdr:pic>
          <xdr:nvPicPr>
            <xdr:cNvPr id="14" name="Grafik 13">
              <a:extLst>
                <a:ext uri="{FF2B5EF4-FFF2-40B4-BE49-F238E27FC236}">
                  <a16:creationId xmlns:a16="http://schemas.microsoft.com/office/drawing/2014/main" id="{00000000-0008-0000-0C00-00000E000000}"/>
                </a:ext>
              </a:extLst>
            </xdr:cNvPr>
            <xdr:cNvPicPr>
              <a:picLocks noChangeAspect="1" noChangeArrowheads="1"/>
              <a:extLst>
                <a:ext uri="{84589F7E-364E-4C9E-8A38-B11213B215E9}">
                  <a14:cameraTool cellRange="bild3" spid="_x0000_s140393"/>
                </a:ext>
              </a:extLst>
            </xdr:cNvPicPr>
          </xdr:nvPicPr>
          <xdr:blipFill rotWithShape="1">
            <a:blip xmlns:r="http://schemas.openxmlformats.org/officeDocument/2006/relationships" r:embed="rId1"/>
            <a:srcRect l="2820" t="3850" r="3118" b="7111"/>
            <a:stretch>
              <a:fillRect/>
            </a:stretch>
          </xdr:blipFill>
          <xdr:spPr bwMode="auto">
            <a:xfrm>
              <a:off x="3673241" y="21641429"/>
              <a:ext cx="2492796" cy="1399464"/>
            </a:xfrm>
            <a:prstGeom prst="roundRect">
              <a:avLst>
                <a:gd name="adj" fmla="val 0"/>
              </a:avLst>
            </a:prstGeom>
            <a:noFill/>
            <a:ln>
              <a:noFill/>
            </a:ln>
            <a:effectLst/>
          </xdr:spPr>
        </xdr:pic>
        <xdr:clientData/>
      </xdr:twoCellAnchor>
    </mc:Choice>
    <mc:Fallback/>
  </mc:AlternateContent>
  <xdr:twoCellAnchor editAs="oneCell">
    <xdr:from>
      <xdr:col>7</xdr:col>
      <xdr:colOff>324971</xdr:colOff>
      <xdr:row>43</xdr:row>
      <xdr:rowOff>165286</xdr:rowOff>
    </xdr:from>
    <xdr:to>
      <xdr:col>9</xdr:col>
      <xdr:colOff>291352</xdr:colOff>
      <xdr:row>50</xdr:row>
      <xdr:rowOff>99460</xdr:rowOff>
    </xdr:to>
    <xdr:pic>
      <xdr:nvPicPr>
        <xdr:cNvPr id="15" name="Grafik 14">
          <a:extLst>
            <a:ext uri="{FF2B5EF4-FFF2-40B4-BE49-F238E27FC236}">
              <a16:creationId xmlns:a16="http://schemas.microsoft.com/office/drawing/2014/main" id="{00000000-0008-0000-0C00-00000F000000}"/>
            </a:ext>
          </a:extLst>
        </xdr:cNvPr>
        <xdr:cNvPicPr>
          <a:picLocks noChangeAspect="1"/>
        </xdr:cNvPicPr>
      </xdr:nvPicPr>
      <xdr:blipFill rotWithShape="1">
        <a:blip xmlns:r="http://schemas.openxmlformats.org/officeDocument/2006/relationships" r:embed="rId9"/>
        <a:srcRect l="6302" r="10125"/>
        <a:stretch/>
      </xdr:blipFill>
      <xdr:spPr>
        <a:xfrm>
          <a:off x="4459942" y="10687610"/>
          <a:ext cx="1277469" cy="1525409"/>
        </a:xfrm>
        <a:prstGeom prst="rect">
          <a:avLst/>
        </a:prstGeom>
      </xdr:spPr>
    </xdr:pic>
    <xdr:clientData/>
  </xdr:twoCellAnchor>
  <xdr:twoCellAnchor editAs="oneCell">
    <xdr:from>
      <xdr:col>8</xdr:col>
      <xdr:colOff>329430</xdr:colOff>
      <xdr:row>3</xdr:row>
      <xdr:rowOff>110458</xdr:rowOff>
    </xdr:from>
    <xdr:to>
      <xdr:col>9</xdr:col>
      <xdr:colOff>278136</xdr:colOff>
      <xdr:row>6</xdr:row>
      <xdr:rowOff>34135</xdr:rowOff>
    </xdr:to>
    <xdr:pic>
      <xdr:nvPicPr>
        <xdr:cNvPr id="18" name="Grafik 17" descr="Zurück mit einfarbiger Füllung">
          <a:hlinkClick xmlns:r="http://schemas.openxmlformats.org/officeDocument/2006/relationships" r:id="rId10"/>
          <a:extLst>
            <a:ext uri="{FF2B5EF4-FFF2-40B4-BE49-F238E27FC236}">
              <a16:creationId xmlns:a16="http://schemas.microsoft.com/office/drawing/2014/main" id="{62F3DFBB-3CBE-B9AB-771A-F782A89D14F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5181577" y="592311"/>
          <a:ext cx="542618" cy="540000"/>
        </a:xfrm>
        <a:prstGeom prst="rect">
          <a:avLst/>
        </a:prstGeom>
      </xdr:spPr>
    </xdr:pic>
    <xdr:clientData/>
  </xdr:twoCellAnchor>
  <xdr:twoCellAnchor editAs="oneCell">
    <xdr:from>
      <xdr:col>6</xdr:col>
      <xdr:colOff>44823</xdr:colOff>
      <xdr:row>135</xdr:row>
      <xdr:rowOff>33617</xdr:rowOff>
    </xdr:from>
    <xdr:to>
      <xdr:col>9</xdr:col>
      <xdr:colOff>280147</xdr:colOff>
      <xdr:row>142</xdr:row>
      <xdr:rowOff>130289</xdr:rowOff>
    </xdr:to>
    <xdr:pic>
      <xdr:nvPicPr>
        <xdr:cNvPr id="3" name="Grafik 2" descr="Tronsole® Typ L: Trittschalldämmung Fuge Treppe Wand">
          <a:extLst>
            <a:ext uri="{FF2B5EF4-FFF2-40B4-BE49-F238E27FC236}">
              <a16:creationId xmlns:a16="http://schemas.microsoft.com/office/drawing/2014/main" id="{FC3C4385-38CE-42AD-A375-FE7D99FD0FB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88441" y="23487529"/>
          <a:ext cx="2252382" cy="1194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xdr:row>
      <xdr:rowOff>68035</xdr:rowOff>
    </xdr:from>
    <xdr:to>
      <xdr:col>9</xdr:col>
      <xdr:colOff>217715</xdr:colOff>
      <xdr:row>2</xdr:row>
      <xdr:rowOff>183969</xdr:rowOff>
    </xdr:to>
    <xdr:sp macro="" textlink="">
      <xdr:nvSpPr>
        <xdr:cNvPr id="12" name="Text Placeholder 3">
          <a:hlinkClick xmlns:r="http://schemas.openxmlformats.org/officeDocument/2006/relationships" r:id="rId13"/>
          <a:extLst>
            <a:ext uri="{FF2B5EF4-FFF2-40B4-BE49-F238E27FC236}">
              <a16:creationId xmlns:a16="http://schemas.microsoft.com/office/drawing/2014/main" id="{3E91495E-8464-4ABC-BC6A-5A951BFBB30F}"/>
            </a:ext>
          </a:extLst>
        </xdr:cNvPr>
        <xdr:cNvSpPr>
          <a:spLocks noGrp="1" noChangeAspect="1"/>
        </xdr:cNvSpPr>
      </xdr:nvSpPr>
      <xdr:spPr bwMode="gray">
        <a:xfrm>
          <a:off x="4150179" y="149678"/>
          <a:ext cx="1524000" cy="306434"/>
        </a:xfrm>
        <a:prstGeom prst="rect">
          <a:avLst/>
        </a:prstGeom>
        <a:blipFill dpi="0" rotWithShape="1">
          <a:blip xmlns:r="http://schemas.openxmlformats.org/officeDocument/2006/relationships" r:embed="rId14" cstate="screen">
            <a:extLst>
              <a:ext uri="{28A0092B-C50C-407E-A947-70E740481C1C}">
                <a14:useLocalDpi xmlns:a14="http://schemas.microsoft.com/office/drawing/2010/main"/>
              </a:ext>
            </a:extLst>
          </a:blip>
          <a:srcRect/>
          <a:stretch>
            <a:fillRect/>
          </a:stretch>
        </a:blipFill>
      </xdr:spPr>
      <xdr:txBody>
        <a:bodyPr vert="horz" wrap="square" lIns="0" tIns="0" rIns="0" bIns="0" rtlCol="0">
          <a:noAutofit/>
        </a:bodyPr>
        <a:lstStyle>
          <a:lvl1pPr marL="0" indent="0" algn="l" defTabSz="914400" rtl="0" eaLnBrk="1" latinLnBrk="0" hangingPunct="1">
            <a:lnSpc>
              <a:spcPct val="110000"/>
            </a:lnSpc>
            <a:spcBef>
              <a:spcPts val="0"/>
            </a:spcBef>
            <a:spcAft>
              <a:spcPts val="1000"/>
            </a:spcAft>
            <a:buClr>
              <a:schemeClr val="accent2"/>
            </a:buClr>
            <a:buSzPct val="100000"/>
            <a:buFont typeface="Wingdings" panose="05000000000000000000" pitchFamily="2" charset="2"/>
            <a:buNone/>
            <a:defRPr sz="1800" kern="1200">
              <a:solidFill>
                <a:schemeClr val="tx1"/>
              </a:solidFill>
              <a:latin typeface="+mn-lt"/>
              <a:ea typeface="+mn-ea"/>
              <a:cs typeface="+mn-cs"/>
            </a:defRPr>
          </a:lvl1pPr>
          <a:lvl2pPr marL="72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600" kern="1200">
              <a:solidFill>
                <a:schemeClr val="tx1"/>
              </a:solidFill>
              <a:latin typeface="+mn-lt"/>
              <a:ea typeface="+mn-ea"/>
              <a:cs typeface="+mn-cs"/>
            </a:defRPr>
          </a:lvl2pPr>
          <a:lvl3pPr marL="108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400" kern="1200">
              <a:solidFill>
                <a:schemeClr val="tx1"/>
              </a:solidFill>
              <a:latin typeface="+mn-lt"/>
              <a:ea typeface="+mn-ea"/>
              <a:cs typeface="+mn-cs"/>
            </a:defRPr>
          </a:lvl3pPr>
          <a:lvl4pPr marL="144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200" kern="1200">
              <a:solidFill>
                <a:schemeClr val="tx1"/>
              </a:solidFill>
              <a:latin typeface="+mn-lt"/>
              <a:ea typeface="+mn-ea"/>
              <a:cs typeface="+mn-cs"/>
            </a:defRPr>
          </a:lvl4pPr>
          <a:lvl5pPr marL="1800000" indent="-270000" algn="l" defTabSz="914400" rtl="0" eaLnBrk="1" latinLnBrk="0" hangingPunct="1">
            <a:lnSpc>
              <a:spcPct val="110000"/>
            </a:lnSpc>
            <a:spcBef>
              <a:spcPts val="0"/>
            </a:spcBef>
            <a:spcAft>
              <a:spcPts val="1000"/>
            </a:spcAft>
            <a:buClr>
              <a:schemeClr val="accent2"/>
            </a:buClr>
            <a:buFont typeface="Wingdings" panose="05000000000000000000" pitchFamily="2" charset="2"/>
            <a:buChar char="§"/>
            <a:defRPr sz="1000" kern="1200">
              <a:solidFill>
                <a:schemeClr val="tx1"/>
              </a:solidFill>
              <a:latin typeface="+mn-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122463</xdr:colOff>
          <xdr:row>70</xdr:row>
          <xdr:rowOff>244927</xdr:rowOff>
        </xdr:from>
        <xdr:to>
          <xdr:col>9</xdr:col>
          <xdr:colOff>284558</xdr:colOff>
          <xdr:row>97</xdr:row>
          <xdr:rowOff>217713</xdr:rowOff>
        </xdr:to>
        <xdr:pic>
          <xdr:nvPicPr>
            <xdr:cNvPr id="2" name="Grafik 1">
              <a:extLst>
                <a:ext uri="{FF2B5EF4-FFF2-40B4-BE49-F238E27FC236}">
                  <a16:creationId xmlns:a16="http://schemas.microsoft.com/office/drawing/2014/main" id="{CDD40B78-CDFF-49E2-8BE9-6023E731C3F0}"/>
                </a:ext>
              </a:extLst>
            </xdr:cNvPr>
            <xdr:cNvPicPr preferRelativeResize="0">
              <a:picLocks noChangeAspect="1" noChangeArrowheads="1"/>
              <a:extLst>
                <a:ext uri="{84589F7E-364E-4C9E-8A38-B11213B215E9}">
                  <a14:cameraTool cellRange="BildauswahlPodest" spid="_x0000_s140394"/>
                </a:ext>
              </a:extLst>
            </xdr:cNvPicPr>
          </xdr:nvPicPr>
          <xdr:blipFill rotWithShape="1">
            <a:blip xmlns:r="http://schemas.openxmlformats.org/officeDocument/2006/relationships" r:embed="rId15"/>
            <a:srcRect l="2010" t="5547" r="2100" b="5664"/>
            <a:stretch>
              <a:fillRect/>
            </a:stretch>
          </xdr:blipFill>
          <xdr:spPr bwMode="auto">
            <a:xfrm>
              <a:off x="122463" y="17376320"/>
              <a:ext cx="5618559" cy="6585857"/>
            </a:xfrm>
            <a:prstGeom prst="roundRect">
              <a:avLst>
                <a:gd name="adj" fmla="val 0"/>
              </a:avLst>
            </a:prstGeom>
            <a:noFill/>
            <a:ln>
              <a:noFill/>
            </a:ln>
            <a:effectLst/>
          </xdr:spPr>
        </xdr:pic>
        <xdr:clientData/>
      </xdr:twoCellAnchor>
    </mc:Choice>
    <mc:Fallback/>
  </mc:AlternateContent>
  <xdr:twoCellAnchor editAs="oneCell">
    <xdr:from>
      <xdr:col>8</xdr:col>
      <xdr:colOff>369794</xdr:colOff>
      <xdr:row>98</xdr:row>
      <xdr:rowOff>201707</xdr:rowOff>
    </xdr:from>
    <xdr:to>
      <xdr:col>9</xdr:col>
      <xdr:colOff>242829</xdr:colOff>
      <xdr:row>100</xdr:row>
      <xdr:rowOff>80528</xdr:rowOff>
    </xdr:to>
    <xdr:pic>
      <xdr:nvPicPr>
        <xdr:cNvPr id="4" name="Grafik 3">
          <a:extLst>
            <a:ext uri="{FF2B5EF4-FFF2-40B4-BE49-F238E27FC236}">
              <a16:creationId xmlns:a16="http://schemas.microsoft.com/office/drawing/2014/main" id="{C27DE9D8-2410-4B65-80E8-2762FD993AF7}"/>
            </a:ext>
          </a:extLst>
        </xdr:cNvPr>
        <xdr:cNvPicPr>
          <a:picLocks noChangeAspect="1"/>
        </xdr:cNvPicPr>
      </xdr:nvPicPr>
      <xdr:blipFill>
        <a:blip xmlns:r="http://schemas.openxmlformats.org/officeDocument/2006/relationships" r:embed="rId16"/>
        <a:stretch>
          <a:fillRect/>
        </a:stretch>
      </xdr:blipFill>
      <xdr:spPr>
        <a:xfrm>
          <a:off x="5221941" y="23946972"/>
          <a:ext cx="466947" cy="3718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88900</xdr:colOff>
          <xdr:row>118</xdr:row>
          <xdr:rowOff>146050</xdr:rowOff>
        </xdr:from>
        <xdr:to>
          <xdr:col>10</xdr:col>
          <xdr:colOff>342900</xdr:colOff>
          <xdr:row>124</xdr:row>
          <xdr:rowOff>177800</xdr:rowOff>
        </xdr:to>
        <xdr:pic>
          <xdr:nvPicPr>
            <xdr:cNvPr id="140302" name="Grafik 12">
              <a:extLst>
                <a:ext uri="{FF2B5EF4-FFF2-40B4-BE49-F238E27FC236}">
                  <a16:creationId xmlns:a16="http://schemas.microsoft.com/office/drawing/2014/main" id="{97F3CF2D-11A5-BA65-983F-5C48BD701B01}"/>
                </a:ext>
              </a:extLst>
            </xdr:cNvPr>
            <xdr:cNvPicPr>
              <a:picLocks noChangeAspect="1" noChangeArrowheads="1"/>
              <a:extLst>
                <a:ext uri="{84589F7E-364E-4C9E-8A38-B11213B215E9}">
                  <a14:cameraTool cellRange="bild3" spid="_x0000_s140395"/>
                </a:ext>
              </a:extLst>
            </xdr:cNvPicPr>
          </xdr:nvPicPr>
          <xdr:blipFill>
            <a:blip xmlns:r="http://schemas.openxmlformats.org/officeDocument/2006/relationships" r:embed="rId1"/>
            <a:srcRect/>
            <a:stretch>
              <a:fillRect/>
            </a:stretch>
          </xdr:blipFill>
          <xdr:spPr bwMode="auto">
            <a:xfrm>
              <a:off x="3829050" y="29152850"/>
              <a:ext cx="2603500" cy="1403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88900</xdr:colOff>
          <xdr:row>126</xdr:row>
          <xdr:rowOff>146050</xdr:rowOff>
        </xdr:from>
        <xdr:to>
          <xdr:col>10</xdr:col>
          <xdr:colOff>336550</xdr:colOff>
          <xdr:row>133</xdr:row>
          <xdr:rowOff>6350</xdr:rowOff>
        </xdr:to>
        <xdr:pic>
          <xdr:nvPicPr>
            <xdr:cNvPr id="140303" name="Grafik 13">
              <a:extLst>
                <a:ext uri="{FF2B5EF4-FFF2-40B4-BE49-F238E27FC236}">
                  <a16:creationId xmlns:a16="http://schemas.microsoft.com/office/drawing/2014/main" id="{556E1FBE-4EBF-D54E-7A3A-090125802FE6}"/>
                </a:ext>
              </a:extLst>
            </xdr:cNvPr>
            <xdr:cNvPicPr>
              <a:picLocks noChangeAspect="1" noChangeArrowheads="1"/>
              <a:extLst>
                <a:ext uri="{84589F7E-364E-4C9E-8A38-B11213B215E9}">
                  <a14:cameraTool cellRange="bild3" spid="_x0000_s140396"/>
                </a:ext>
              </a:extLst>
            </xdr:cNvPicPr>
          </xdr:nvPicPr>
          <xdr:blipFill>
            <a:blip xmlns:r="http://schemas.openxmlformats.org/officeDocument/2006/relationships" r:embed="rId17"/>
            <a:srcRect/>
            <a:stretch>
              <a:fillRect/>
            </a:stretch>
          </xdr:blipFill>
          <xdr:spPr bwMode="auto">
            <a:xfrm>
              <a:off x="3829050" y="31064200"/>
              <a:ext cx="2597150" cy="1384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71</xdr:row>
          <xdr:rowOff>76200</xdr:rowOff>
        </xdr:from>
        <xdr:to>
          <xdr:col>9</xdr:col>
          <xdr:colOff>279400</xdr:colOff>
          <xdr:row>98</xdr:row>
          <xdr:rowOff>44450</xdr:rowOff>
        </xdr:to>
        <xdr:pic>
          <xdr:nvPicPr>
            <xdr:cNvPr id="140304" name="Grafik 1">
              <a:extLst>
                <a:ext uri="{FF2B5EF4-FFF2-40B4-BE49-F238E27FC236}">
                  <a16:creationId xmlns:a16="http://schemas.microsoft.com/office/drawing/2014/main" id="{7E724933-2E61-64E2-BFED-DE6003638114}"/>
                </a:ext>
              </a:extLst>
            </xdr:cNvPr>
            <xdr:cNvPicPr>
              <a:picLocks noChangeAspect="1" noChangeArrowheads="1"/>
              <a:extLst>
                <a:ext uri="{84589F7E-364E-4C9E-8A38-B11213B215E9}">
                  <a14:cameraTool cellRange="BildauswahlPodest" spid="_x0000_s140397"/>
                </a:ext>
              </a:extLst>
            </xdr:cNvPicPr>
          </xdr:nvPicPr>
          <xdr:blipFill>
            <a:blip xmlns:r="http://schemas.openxmlformats.org/officeDocument/2006/relationships" r:embed="rId18"/>
            <a:srcRect/>
            <a:stretch>
              <a:fillRect/>
            </a:stretch>
          </xdr:blipFill>
          <xdr:spPr bwMode="auto">
            <a:xfrm>
              <a:off x="120650" y="17430750"/>
              <a:ext cx="5861050" cy="6826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0.bin"/><Relationship Id="rId1" Type="http://schemas.openxmlformats.org/officeDocument/2006/relationships/printerSettings" Target="../printerSettings/printerSettings7.bin"/><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1.bin"/><Relationship Id="rId1" Type="http://schemas.openxmlformats.org/officeDocument/2006/relationships/printerSettings" Target="../printerSettings/printerSettings8.bin"/><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4.bin"/><Relationship Id="rId1" Type="http://schemas.openxmlformats.org/officeDocument/2006/relationships/printerSettings" Target="../printerSettings/printerSettings10.bin"/><Relationship Id="rId4"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4.bin"/><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K12"/>
  <sheetViews>
    <sheetView topLeftCell="A2" zoomScale="40" zoomScaleNormal="40" workbookViewId="0">
      <selection activeCell="E3" sqref="E3"/>
    </sheetView>
  </sheetViews>
  <sheetFormatPr baseColWidth="10" defaultColWidth="11.42578125" defaultRowHeight="15" x14ac:dyDescent="0.25"/>
  <cols>
    <col min="3" max="3" width="12.85546875" bestFit="1" customWidth="1"/>
    <col min="4" max="4" width="40.7109375" customWidth="1"/>
    <col min="7" max="9" width="40.7109375" customWidth="1"/>
    <col min="10" max="11" width="27.28515625" customWidth="1"/>
  </cols>
  <sheetData>
    <row r="1" spans="1:11" ht="120" customHeight="1" x14ac:dyDescent="0.25">
      <c r="C1">
        <v>0</v>
      </c>
      <c r="D1" s="485" t="str">
        <f>IF(PRZEGLAD!A23=TRUE,HYPERLINK("[#]Treppenlauf!A1","abc"),"")</f>
        <v/>
      </c>
      <c r="G1" t="s">
        <v>0</v>
      </c>
      <c r="H1" t="s">
        <v>1</v>
      </c>
      <c r="I1" t="s">
        <v>2</v>
      </c>
      <c r="J1" t="s">
        <v>3</v>
      </c>
      <c r="K1" t="s">
        <v>4</v>
      </c>
    </row>
    <row r="2" spans="1:11" x14ac:dyDescent="0.25">
      <c r="G2" t="s">
        <v>5</v>
      </c>
      <c r="H2" t="s">
        <v>6</v>
      </c>
      <c r="I2" t="s">
        <v>7</v>
      </c>
      <c r="J2" t="s">
        <v>8</v>
      </c>
      <c r="K2" t="s">
        <v>9</v>
      </c>
    </row>
    <row r="3" spans="1:11" ht="23.25" customHeight="1" x14ac:dyDescent="0.25">
      <c r="G3">
        <f>SUMIF($B:$B,'BIEG - DANE'!L26,$C:$C)</f>
        <v>5</v>
      </c>
      <c r="H3">
        <f>IF(SUMIF($B:$B,'BIEG - DANE'!L22,$C:$C)&lt;&gt;0,SUMIF($B:$B,'BIEG - DANE'!L22,$C:$C),1)</f>
        <v>5</v>
      </c>
      <c r="I3">
        <f>IF(LEFT('SPOCZNIK - DANE'!$K$24,5)="Typ Z",9,IF(LEFT('SPOCZNIK - DANE'!$K$24,5)="Typ P",8,0))</f>
        <v>8</v>
      </c>
      <c r="J3">
        <v>10</v>
      </c>
      <c r="K3">
        <v>11</v>
      </c>
    </row>
    <row r="4" spans="1:11" ht="120" customHeight="1" x14ac:dyDescent="0.25">
      <c r="A4" t="s">
        <v>10</v>
      </c>
      <c r="B4" t="s">
        <v>10</v>
      </c>
      <c r="C4">
        <f>ROW(B4)</f>
        <v>4</v>
      </c>
    </row>
    <row r="5" spans="1:11" ht="120" customHeight="1" x14ac:dyDescent="0.25">
      <c r="A5" t="s">
        <v>11</v>
      </c>
      <c r="B5" t="s">
        <v>11</v>
      </c>
      <c r="C5">
        <f t="shared" ref="C5:C9" si="0">ROW(B5)</f>
        <v>5</v>
      </c>
    </row>
    <row r="6" spans="1:11" ht="120" customHeight="1" x14ac:dyDescent="0.25">
      <c r="A6" t="s">
        <v>12</v>
      </c>
      <c r="B6" t="s">
        <v>12</v>
      </c>
      <c r="C6">
        <f t="shared" si="0"/>
        <v>6</v>
      </c>
      <c r="G6" s="485"/>
    </row>
    <row r="7" spans="1:11" ht="120" customHeight="1" x14ac:dyDescent="0.25">
      <c r="A7" t="s">
        <v>13</v>
      </c>
      <c r="B7" t="s">
        <v>13</v>
      </c>
      <c r="C7">
        <f t="shared" si="0"/>
        <v>7</v>
      </c>
    </row>
    <row r="8" spans="1:11" ht="120" customHeight="1" x14ac:dyDescent="0.25">
      <c r="A8" t="s">
        <v>14</v>
      </c>
      <c r="B8" t="s">
        <v>14</v>
      </c>
      <c r="C8">
        <f t="shared" si="0"/>
        <v>8</v>
      </c>
    </row>
    <row r="9" spans="1:11" ht="120" customHeight="1" x14ac:dyDescent="0.25">
      <c r="A9" t="s">
        <v>15</v>
      </c>
      <c r="B9" t="s">
        <v>15</v>
      </c>
      <c r="C9">
        <f t="shared" si="0"/>
        <v>9</v>
      </c>
    </row>
    <row r="10" spans="1:11" ht="181.5" customHeight="1" x14ac:dyDescent="0.25">
      <c r="A10" t="s">
        <v>16</v>
      </c>
      <c r="B10" t="s">
        <v>16</v>
      </c>
      <c r="C10" s="8">
        <v>10</v>
      </c>
      <c r="D10" s="482" t="str">
        <f>IF(PRZEGLAD!A24=TRUE,HYPERLINK("[#]Treppenlauf!A1",""),"")</f>
        <v/>
      </c>
      <c r="E10" s="8"/>
      <c r="G10" s="483"/>
    </row>
    <row r="11" spans="1:11" ht="189.95" customHeight="1" x14ac:dyDescent="0.25">
      <c r="A11" t="s">
        <v>2</v>
      </c>
      <c r="B11" t="s">
        <v>2</v>
      </c>
      <c r="C11" s="8">
        <v>11</v>
      </c>
      <c r="D11" s="482"/>
      <c r="E11" s="8"/>
      <c r="G11" s="483"/>
    </row>
    <row r="12" spans="1:11" ht="189.95" customHeight="1" x14ac:dyDescent="0.25">
      <c r="B12" t="s">
        <v>17</v>
      </c>
      <c r="C12" s="8">
        <v>12</v>
      </c>
      <c r="D12" s="484" t="s">
        <v>18</v>
      </c>
      <c r="E12" s="8"/>
    </row>
  </sheetData>
  <pageMargins left="0.7" right="0.7" top="0.78740157499999996" bottom="0.78740157499999996" header="0.3" footer="0.3"/>
  <pageSetup paperSize="9" orientation="portrait" r:id="rId1"/>
  <customProperties>
    <customPr name="_pios_id" r:id="rId2"/>
  </customProperties>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00437B"/>
  </sheetPr>
  <dimension ref="A1:J147"/>
  <sheetViews>
    <sheetView view="pageBreakPreview" zoomScale="85" zoomScaleNormal="85" zoomScaleSheetLayoutView="85" zoomScalePageLayoutView="85" workbookViewId="0"/>
  </sheetViews>
  <sheetFormatPr baseColWidth="10" defaultColWidth="6.140625" defaultRowHeight="12.75" x14ac:dyDescent="0.2"/>
  <cols>
    <col min="1" max="1" width="1.85546875" style="3" customWidth="1"/>
    <col min="2" max="2" width="9.5703125" style="3" customWidth="1"/>
    <col min="3" max="3" width="10.28515625" style="3" customWidth="1"/>
    <col min="4" max="4" width="11" style="3" customWidth="1"/>
    <col min="5" max="5" width="10.140625" style="3" customWidth="1"/>
    <col min="6" max="6" width="10.7109375" style="3" customWidth="1"/>
    <col min="7" max="7" width="8.5703125" style="3" customWidth="1"/>
    <col min="8" max="8" width="10.7109375" style="3" customWidth="1"/>
    <col min="9" max="9" width="8.85546875" style="3" customWidth="1"/>
    <col min="10" max="10" width="5.5703125" style="3" customWidth="1"/>
    <col min="11" max="16384" width="6.140625" style="3"/>
  </cols>
  <sheetData>
    <row r="1" spans="1:10" ht="6.75" customHeight="1" x14ac:dyDescent="0.2">
      <c r="A1" s="497"/>
      <c r="B1" s="498"/>
      <c r="C1" s="498"/>
      <c r="D1" s="498"/>
      <c r="E1" s="498"/>
      <c r="F1" s="498"/>
      <c r="G1" s="498"/>
      <c r="H1" s="498"/>
      <c r="I1" s="498"/>
      <c r="J1" s="499"/>
    </row>
    <row r="2" spans="1:10" ht="15" x14ac:dyDescent="0.2">
      <c r="A2" s="501"/>
      <c r="B2" s="502" t="str">
        <f>Texte_Sprachen!B3</f>
        <v>Nazwa obiektu</v>
      </c>
      <c r="C2" s="502"/>
      <c r="E2" s="502" t="str">
        <f>IF(PRZEGLAD!D3&lt;&gt;"",PRZEGLAD!D3,"")</f>
        <v/>
      </c>
      <c r="F2" s="502"/>
      <c r="G2" s="502"/>
      <c r="H2" s="502"/>
      <c r="I2" s="502"/>
      <c r="J2" s="628"/>
    </row>
    <row r="3" spans="1:10" ht="15.75" customHeight="1" x14ac:dyDescent="0.2">
      <c r="A3" s="501"/>
      <c r="B3" s="502" t="str">
        <f>Texte_Sprachen!B4</f>
        <v>Numer obiektu</v>
      </c>
      <c r="C3" s="502"/>
      <c r="E3" s="502" t="str">
        <f>IF(PRZEGLAD!D4&lt;&gt;"",PRZEGLAD!D4,"")</f>
        <v/>
      </c>
      <c r="F3" s="502"/>
      <c r="G3" s="502"/>
      <c r="H3" s="502"/>
      <c r="I3" s="502"/>
      <c r="J3" s="628"/>
    </row>
    <row r="4" spans="1:10" ht="15.75" customHeight="1" x14ac:dyDescent="0.2">
      <c r="A4" s="501"/>
      <c r="B4" s="502" t="str">
        <f>Texte_Sprachen!B6</f>
        <v>Pozycja</v>
      </c>
      <c r="C4" s="502"/>
      <c r="E4" s="502" t="str">
        <f>IF('BIEG - DANE'!D5&lt;&gt;"",'BIEG - DANE'!D5,"")</f>
        <v/>
      </c>
      <c r="F4" s="502"/>
      <c r="G4" s="502"/>
      <c r="H4" s="502"/>
      <c r="I4" s="502"/>
      <c r="J4" s="628"/>
    </row>
    <row r="5" spans="1:10" ht="15.75" customHeight="1" x14ac:dyDescent="0.2">
      <c r="A5" s="501"/>
      <c r="B5" s="502" t="str">
        <f>Texte_Sprachen!B7</f>
        <v>Element budowlany</v>
      </c>
      <c r="C5" s="502"/>
      <c r="E5" s="502" t="str">
        <f>IF('BIEG - DANE'!D6&lt;&gt;"",'BIEG - DANE'!D6,"")</f>
        <v/>
      </c>
      <c r="F5" s="502"/>
      <c r="G5" s="502"/>
      <c r="H5" s="502"/>
      <c r="I5" s="502"/>
      <c r="J5" s="628"/>
    </row>
    <row r="6" spans="1:10" ht="16.5" customHeight="1" x14ac:dyDescent="0.2">
      <c r="A6" s="595"/>
      <c r="B6" s="1129" t="str">
        <f>Texte_Sprachen!B11</f>
        <v>Data</v>
      </c>
      <c r="C6" s="1129"/>
      <c r="D6" s="596"/>
      <c r="E6" s="1130">
        <f ca="1">'BIEG - DANE'!K8</f>
        <v>45462.610219907408</v>
      </c>
      <c r="F6" s="1130"/>
      <c r="G6" s="596" t="str">
        <f>Texte_Sprachen!B5</f>
        <v>Opracował</v>
      </c>
      <c r="H6" s="596"/>
      <c r="I6" s="1126"/>
      <c r="J6" s="1127"/>
    </row>
    <row r="7" spans="1:10" s="6" customFormat="1" ht="20.100000000000001" customHeight="1" x14ac:dyDescent="0.25">
      <c r="A7" s="1131" t="str">
        <f>Texte_Sprachen!B104&amp;" - Schöck Tronsole®"</f>
        <v>Obliczenia - Schöck Tronsole®</v>
      </c>
      <c r="B7" s="1132"/>
      <c r="C7" s="1132"/>
      <c r="D7" s="1132"/>
      <c r="E7" s="1132"/>
      <c r="F7" s="1132"/>
      <c r="G7" s="1132"/>
      <c r="H7" s="1132"/>
      <c r="I7" s="1132"/>
      <c r="J7" s="1133"/>
    </row>
    <row r="8" spans="1:10" ht="6" customHeight="1" x14ac:dyDescent="0.2">
      <c r="A8" s="503"/>
      <c r="B8" s="504"/>
      <c r="C8" s="504"/>
      <c r="D8" s="504"/>
      <c r="G8" s="505"/>
      <c r="J8" s="500"/>
    </row>
    <row r="9" spans="1:10" ht="15" customHeight="1" x14ac:dyDescent="0.25">
      <c r="A9" s="503"/>
      <c r="B9" s="1128" t="str">
        <f>Texte_Sprachen!B111</f>
        <v>Podstawy obliczeń:</v>
      </c>
      <c r="C9" s="1128"/>
      <c r="D9" s="1128"/>
      <c r="E9" s="1128"/>
      <c r="F9" s="1128"/>
      <c r="G9" s="1128"/>
      <c r="H9" s="1128"/>
      <c r="J9" s="500"/>
    </row>
    <row r="10" spans="1:10" x14ac:dyDescent="0.2">
      <c r="A10" s="503"/>
      <c r="B10" s="507" t="s">
        <v>435</v>
      </c>
      <c r="C10" s="1124" t="str">
        <f>Texte_Sprachen!B109</f>
        <v>-</v>
      </c>
      <c r="D10" s="1124"/>
      <c r="E10" s="1124"/>
      <c r="F10" s="1124"/>
      <c r="G10" s="1124"/>
      <c r="H10" s="1124"/>
      <c r="I10" s="1124"/>
      <c r="J10" s="1125"/>
    </row>
    <row r="11" spans="1:10" x14ac:dyDescent="0.2">
      <c r="A11" s="503"/>
      <c r="B11" s="507"/>
      <c r="C11" s="1124"/>
      <c r="D11" s="1124"/>
      <c r="E11" s="1124"/>
      <c r="F11" s="1124"/>
      <c r="G11" s="1124"/>
      <c r="H11" s="1124"/>
      <c r="I11" s="1124"/>
      <c r="J11" s="1125"/>
    </row>
    <row r="12" spans="1:10" x14ac:dyDescent="0.2">
      <c r="A12" s="503"/>
      <c r="B12" s="507" t="s">
        <v>435</v>
      </c>
      <c r="C12" s="1124" t="str">
        <f>Texte_Sprachen!B134</f>
        <v>Krajowa Ocena Techniczna ITB - KOT-2020_1348 - typy F,B,L,D    
Krajowa Ocena Techniczna ITB - KOT-2020_1349 - typy Q,P,T,Z,L</v>
      </c>
      <c r="D12" s="1124"/>
      <c r="E12" s="1124"/>
      <c r="F12" s="1124"/>
      <c r="G12" s="1124"/>
      <c r="H12" s="1124"/>
      <c r="I12" s="1124"/>
      <c r="J12" s="1125"/>
    </row>
    <row r="13" spans="1:10" x14ac:dyDescent="0.2">
      <c r="A13" s="503"/>
      <c r="B13" s="510"/>
      <c r="C13" s="1124"/>
      <c r="D13" s="1124"/>
      <c r="E13" s="1124"/>
      <c r="F13" s="1124"/>
      <c r="G13" s="1124"/>
      <c r="H13" s="1124"/>
      <c r="I13" s="1124"/>
      <c r="J13" s="1125"/>
    </row>
    <row r="14" spans="1:10" ht="15" customHeight="1" x14ac:dyDescent="0.25">
      <c r="A14" s="503"/>
      <c r="B14" s="1128" t="str">
        <f>Texte_Sprachen!B110</f>
        <v>Wskazówki:</v>
      </c>
      <c r="C14" s="1128"/>
      <c r="D14" s="1128"/>
      <c r="E14" s="1128"/>
      <c r="F14" s="1128"/>
      <c r="G14" s="1128"/>
      <c r="H14" s="1128"/>
      <c r="I14" s="513"/>
      <c r="J14" s="514"/>
    </row>
    <row r="15" spans="1:10" ht="14.1" customHeight="1" x14ac:dyDescent="0.2">
      <c r="A15" s="503"/>
      <c r="B15" s="507" t="s">
        <v>435</v>
      </c>
      <c r="C15" s="1124" t="str">
        <f>Texte_Sprachen!B108</f>
        <v xml:space="preserve">Wyniki obliczeń dotyczą jedynie doboru produktów Schöck Tronsole®. Schematy podparcia i szczegóły zbrojenia powinny być przeanalizowane przez Projektanta. </v>
      </c>
      <c r="D15" s="1124"/>
      <c r="E15" s="1124"/>
      <c r="F15" s="1124"/>
      <c r="G15" s="1124"/>
      <c r="H15" s="1124"/>
      <c r="I15" s="1124"/>
      <c r="J15" s="1125"/>
    </row>
    <row r="16" spans="1:10" ht="14.1" customHeight="1" x14ac:dyDescent="0.2">
      <c r="A16" s="503"/>
      <c r="B16" s="507"/>
      <c r="C16" s="1124"/>
      <c r="D16" s="1124"/>
      <c r="E16" s="1124"/>
      <c r="F16" s="1124"/>
      <c r="G16" s="1124"/>
      <c r="H16" s="1124"/>
      <c r="I16" s="1124"/>
      <c r="J16" s="1125"/>
    </row>
    <row r="17" spans="1:10" ht="14.1" customHeight="1" x14ac:dyDescent="0.2">
      <c r="A17" s="503"/>
      <c r="B17" s="507" t="s">
        <v>435</v>
      </c>
      <c r="C17" s="1124" t="str">
        <f>Texte_Sprachen!B107</f>
        <v>Dalsze informacje i wskazówki w informacji technicznej Schöck Tronsole® dostępnej na stronie: https://www.schoeck.com/</v>
      </c>
      <c r="D17" s="1124"/>
      <c r="E17" s="1124"/>
      <c r="F17" s="1124"/>
      <c r="G17" s="1124"/>
      <c r="H17" s="1124"/>
      <c r="I17" s="1124"/>
      <c r="J17" s="1125"/>
    </row>
    <row r="18" spans="1:10" ht="14.1" customHeight="1" x14ac:dyDescent="0.2">
      <c r="A18" s="503"/>
      <c r="B18" s="507"/>
      <c r="C18" s="1124"/>
      <c r="D18" s="1124"/>
      <c r="E18" s="1124"/>
      <c r="F18" s="1124"/>
      <c r="G18" s="1124"/>
      <c r="H18" s="1124"/>
      <c r="I18" s="1124"/>
      <c r="J18" s="1125"/>
    </row>
    <row r="19" spans="1:10" ht="14.1" customHeight="1" x14ac:dyDescent="0.2">
      <c r="A19" s="503"/>
      <c r="B19" s="511"/>
      <c r="C19" s="515"/>
      <c r="D19" s="515"/>
      <c r="E19" s="515"/>
      <c r="F19" s="515"/>
      <c r="G19" s="515"/>
      <c r="H19" s="515"/>
      <c r="I19" s="515"/>
      <c r="J19" s="509"/>
    </row>
    <row r="20" spans="1:10" ht="70.7" customHeight="1" x14ac:dyDescent="0.2">
      <c r="A20" s="503"/>
      <c r="B20" s="513"/>
      <c r="C20" s="516"/>
      <c r="D20" s="517" t="s">
        <v>12</v>
      </c>
      <c r="E20" s="516"/>
      <c r="F20" s="516"/>
      <c r="G20" s="516"/>
      <c r="H20" s="517" t="s">
        <v>13</v>
      </c>
      <c r="I20" s="516"/>
      <c r="J20" s="518"/>
    </row>
    <row r="21" spans="1:10" ht="70.7" customHeight="1" x14ac:dyDescent="0.2">
      <c r="A21" s="503"/>
      <c r="B21" s="513"/>
      <c r="C21" s="515"/>
      <c r="D21" s="517" t="s">
        <v>11</v>
      </c>
      <c r="G21" s="80"/>
      <c r="H21" s="517" t="s">
        <v>14</v>
      </c>
      <c r="I21" s="508"/>
      <c r="J21" s="509"/>
    </row>
    <row r="22" spans="1:10" ht="70.7" customHeight="1" x14ac:dyDescent="0.2">
      <c r="A22" s="503"/>
      <c r="B22" s="513"/>
      <c r="C22" s="7"/>
      <c r="D22" s="517" t="s">
        <v>436</v>
      </c>
      <c r="H22" s="517" t="s">
        <v>15</v>
      </c>
      <c r="J22" s="500"/>
    </row>
    <row r="23" spans="1:10" ht="70.7" customHeight="1" x14ac:dyDescent="0.2">
      <c r="A23" s="503"/>
      <c r="B23" s="513"/>
      <c r="C23" s="515"/>
      <c r="D23" s="517" t="s">
        <v>437</v>
      </c>
      <c r="G23" s="80"/>
      <c r="H23" s="508"/>
      <c r="I23" s="508"/>
      <c r="J23" s="509"/>
    </row>
    <row r="24" spans="1:10" ht="15" customHeight="1" x14ac:dyDescent="0.25">
      <c r="A24" s="503"/>
      <c r="B24" s="513"/>
      <c r="C24" s="515"/>
      <c r="D24" s="513"/>
      <c r="G24" s="466"/>
      <c r="H24"/>
      <c r="I24" s="515"/>
      <c r="J24" s="519"/>
    </row>
    <row r="25" spans="1:10" ht="12" customHeight="1" x14ac:dyDescent="0.2">
      <c r="A25" s="503"/>
      <c r="B25" s="513"/>
      <c r="C25" s="515"/>
      <c r="D25" s="513"/>
      <c r="G25" s="466"/>
      <c r="H25" s="515"/>
      <c r="I25" s="515"/>
      <c r="J25" s="519"/>
    </row>
    <row r="26" spans="1:10" ht="15" customHeight="1" x14ac:dyDescent="0.25">
      <c r="A26" s="503"/>
      <c r="B26" s="1128" t="str">
        <f>Texte_Sprachen!B112</f>
        <v>Fizyka budowli</v>
      </c>
      <c r="C26" s="1128"/>
      <c r="D26" s="1128"/>
      <c r="E26" s="1128"/>
      <c r="F26" s="1128"/>
      <c r="G26" s="1128"/>
      <c r="H26" s="1128"/>
      <c r="I26" s="513"/>
      <c r="J26" s="514"/>
    </row>
    <row r="27" spans="1:10" ht="15" customHeight="1" x14ac:dyDescent="0.25">
      <c r="A27" s="503"/>
      <c r="B27" s="506"/>
      <c r="C27" s="506"/>
      <c r="D27" s="506"/>
      <c r="E27" s="506"/>
      <c r="F27" s="506"/>
      <c r="G27" s="506"/>
      <c r="H27" s="506"/>
      <c r="I27" s="513"/>
      <c r="J27" s="514"/>
    </row>
    <row r="28" spans="1:10" ht="12.95" customHeight="1" x14ac:dyDescent="0.2">
      <c r="A28" s="503"/>
      <c r="B28" s="520" t="str">
        <f>Texte_Sprachen!B113</f>
        <v>Ważony wskaźnik zmniejszenia poziomu uderzeniowego ΔLw</v>
      </c>
      <c r="D28" s="521"/>
      <c r="E28" s="521"/>
      <c r="F28" s="521"/>
      <c r="H28" s="521"/>
      <c r="I28" s="513"/>
      <c r="J28" s="514"/>
    </row>
    <row r="29" spans="1:10" ht="12.95" customHeight="1" x14ac:dyDescent="0.2">
      <c r="A29" s="503"/>
      <c r="B29" s="520"/>
      <c r="D29" s="521"/>
      <c r="E29" s="521"/>
      <c r="F29" s="521"/>
      <c r="H29" s="521"/>
      <c r="I29" s="513"/>
      <c r="J29" s="514"/>
    </row>
    <row r="30" spans="1:10" s="5" customFormat="1" ht="12.95" customHeight="1" x14ac:dyDescent="0.2">
      <c r="A30" s="503"/>
      <c r="B30" s="512" t="s">
        <v>438</v>
      </c>
      <c r="C30" s="522"/>
      <c r="D30" s="512" t="s">
        <v>439</v>
      </c>
      <c r="E30" s="523"/>
      <c r="F30" s="512" t="s">
        <v>440</v>
      </c>
      <c r="G30" s="524"/>
      <c r="H30" s="512" t="s">
        <v>441</v>
      </c>
      <c r="I30" s="525"/>
      <c r="J30" s="526"/>
    </row>
    <row r="31" spans="1:10" s="5" customFormat="1" ht="12.95" customHeight="1" x14ac:dyDescent="0.2">
      <c r="A31" s="503"/>
      <c r="B31" s="512" t="s">
        <v>442</v>
      </c>
      <c r="C31" s="522"/>
      <c r="D31" s="512" t="s">
        <v>443</v>
      </c>
      <c r="E31" s="523"/>
      <c r="F31" s="512" t="s">
        <v>444</v>
      </c>
      <c r="G31" s="524"/>
      <c r="H31" s="512" t="s">
        <v>445</v>
      </c>
      <c r="I31" s="525"/>
      <c r="J31" s="526"/>
    </row>
    <row r="32" spans="1:10" s="5" customFormat="1" ht="12.95" customHeight="1" x14ac:dyDescent="0.2">
      <c r="A32" s="503"/>
      <c r="B32" s="512" t="s">
        <v>446</v>
      </c>
      <c r="C32" s="522"/>
      <c r="D32" s="512"/>
      <c r="E32" s="523"/>
      <c r="F32" s="512" t="s">
        <v>447</v>
      </c>
      <c r="G32" s="524"/>
      <c r="H32" s="512" t="s">
        <v>448</v>
      </c>
      <c r="I32" s="525"/>
      <c r="J32" s="526"/>
    </row>
    <row r="33" spans="1:10" s="5" customFormat="1" ht="12.95" customHeight="1" x14ac:dyDescent="0.2">
      <c r="A33" s="503"/>
      <c r="B33" s="512"/>
      <c r="C33" s="515"/>
      <c r="D33" s="508"/>
      <c r="E33" s="508"/>
      <c r="F33" s="508"/>
      <c r="G33" s="508"/>
      <c r="H33" s="508"/>
      <c r="I33" s="508"/>
      <c r="J33" s="509"/>
    </row>
    <row r="34" spans="1:10" s="5" customFormat="1" ht="12" customHeight="1" x14ac:dyDescent="0.2">
      <c r="A34" s="503"/>
      <c r="B34" s="1134" t="str">
        <f>Texte_Sprachen!B114</f>
        <v>Oddzielenie akustyczne biegów schodowych/spocznika od ściany klatki schodowej realizowane jest poprzez zastosowanie Schöck Tronsole® typu L.</v>
      </c>
      <c r="C34" s="1134"/>
      <c r="D34" s="1134"/>
      <c r="E34" s="1134"/>
      <c r="F34" s="1134"/>
      <c r="G34" s="1134"/>
      <c r="H34" s="1134"/>
      <c r="I34" s="1134"/>
      <c r="J34" s="1135"/>
    </row>
    <row r="35" spans="1:10" s="5" customFormat="1" ht="12.95" customHeight="1" x14ac:dyDescent="0.2">
      <c r="A35" s="503"/>
      <c r="B35" s="1134"/>
      <c r="C35" s="1134"/>
      <c r="D35" s="1134"/>
      <c r="E35" s="1134"/>
      <c r="F35" s="1134"/>
      <c r="G35" s="1134"/>
      <c r="H35" s="1134"/>
      <c r="I35" s="1134"/>
      <c r="J35" s="1135"/>
    </row>
    <row r="36" spans="1:10" s="5" customFormat="1" ht="12.95" customHeight="1" x14ac:dyDescent="0.2">
      <c r="A36" s="503"/>
      <c r="B36" s="1134"/>
      <c r="C36" s="1134"/>
      <c r="D36" s="1134"/>
      <c r="E36" s="1134"/>
      <c r="F36" s="1134"/>
      <c r="G36" s="1134"/>
      <c r="H36" s="1134"/>
      <c r="I36" s="1134"/>
      <c r="J36" s="1135"/>
    </row>
    <row r="37" spans="1:10" ht="24.75" customHeight="1" x14ac:dyDescent="0.2">
      <c r="A37" s="552"/>
      <c r="B37" s="463"/>
      <c r="C37" s="463"/>
      <c r="D37" s="463"/>
      <c r="E37" s="592"/>
      <c r="F37" s="592"/>
      <c r="G37" s="592"/>
      <c r="H37" s="592"/>
      <c r="I37" s="592"/>
      <c r="J37" s="553"/>
    </row>
    <row r="38" spans="1:10" ht="20.100000000000001" customHeight="1" x14ac:dyDescent="0.2">
      <c r="A38" s="1136" t="str">
        <f>Texte_Sprachen!B115</f>
        <v>Wprowadzone dane</v>
      </c>
      <c r="B38" s="1137"/>
      <c r="C38" s="1137"/>
      <c r="D38" s="1137"/>
      <c r="E38" s="1137"/>
      <c r="F38" s="1137"/>
      <c r="G38" s="1137"/>
      <c r="H38" s="1137"/>
      <c r="I38" s="1137"/>
      <c r="J38" s="1138"/>
    </row>
    <row r="39" spans="1:10" ht="15.75" x14ac:dyDescent="0.2">
      <c r="A39" s="527"/>
      <c r="B39" s="528"/>
      <c r="C39" s="528"/>
      <c r="D39" s="528"/>
      <c r="E39" s="528"/>
      <c r="F39" s="528"/>
      <c r="G39" s="528"/>
      <c r="H39" s="528"/>
      <c r="I39" s="528"/>
      <c r="J39" s="529"/>
    </row>
    <row r="40" spans="1:10" ht="15.75" x14ac:dyDescent="0.2">
      <c r="A40" s="527"/>
      <c r="B40" s="530" t="s">
        <v>180</v>
      </c>
      <c r="C40" s="531" t="str">
        <f>'BIEG - DANE'!C13</f>
        <v>System</v>
      </c>
      <c r="D40" s="532"/>
      <c r="E40" s="532"/>
      <c r="F40" s="532"/>
      <c r="G40" s="532"/>
      <c r="H40" s="532"/>
      <c r="I40" s="532"/>
      <c r="J40" s="533"/>
    </row>
    <row r="41" spans="1:10" ht="15.75" x14ac:dyDescent="0.2">
      <c r="A41" s="527"/>
      <c r="B41" s="534"/>
      <c r="C41" s="532" t="str">
        <f>'BIEG - DANE'!C14</f>
        <v>Ochrona ppoż.</v>
      </c>
      <c r="F41" s="532"/>
      <c r="G41" s="532" t="str">
        <f>'BIEG - DANE'!D14</f>
        <v>R 120</v>
      </c>
      <c r="I41" s="532"/>
      <c r="J41" s="533"/>
    </row>
    <row r="42" spans="1:10" ht="15.75" x14ac:dyDescent="0.2">
      <c r="A42" s="527"/>
      <c r="B42" s="534"/>
      <c r="C42" s="532" t="str">
        <f>'BIEG - DANE'!C15</f>
        <v>Wykonanie</v>
      </c>
      <c r="F42" s="532"/>
      <c r="G42" s="532" t="str">
        <f>'BIEG - DANE'!D15</f>
        <v>Beton monolityczny</v>
      </c>
      <c r="I42" s="532"/>
      <c r="J42" s="533"/>
    </row>
    <row r="43" spans="1:10" ht="15.75" x14ac:dyDescent="0.2">
      <c r="A43" s="527"/>
      <c r="B43" s="534"/>
      <c r="C43" s="532" t="str">
        <f>'BIEG - DANE'!C16</f>
        <v>Klasa betonu</v>
      </c>
      <c r="F43" s="532"/>
      <c r="G43" s="532" t="str">
        <f>'BIEG - DANE'!D16</f>
        <v>≥ C30/37</v>
      </c>
      <c r="I43" s="532"/>
      <c r="J43" s="533"/>
    </row>
    <row r="44" spans="1:10" ht="16.5" thickBot="1" x14ac:dyDescent="0.25">
      <c r="A44" s="535"/>
      <c r="B44" s="472"/>
      <c r="C44" s="460"/>
      <c r="D44" s="460"/>
      <c r="E44" s="460"/>
      <c r="F44" s="460"/>
      <c r="G44" s="460"/>
      <c r="H44" s="460"/>
      <c r="I44" s="460"/>
      <c r="J44" s="536"/>
    </row>
    <row r="45" spans="1:10" ht="16.5" thickTop="1" x14ac:dyDescent="0.2">
      <c r="A45" s="527"/>
      <c r="B45" s="534"/>
      <c r="C45" s="532"/>
      <c r="D45" s="532"/>
      <c r="E45" s="532"/>
      <c r="F45" s="532"/>
      <c r="G45" s="532"/>
      <c r="H45" s="532"/>
      <c r="I45" s="532"/>
      <c r="J45" s="533"/>
    </row>
    <row r="46" spans="1:10" ht="15.75" x14ac:dyDescent="0.2">
      <c r="A46" s="527"/>
      <c r="B46" s="530" t="s">
        <v>186</v>
      </c>
      <c r="C46" s="531" t="str">
        <f>'BIEG - DANE'!C18</f>
        <v>Geometria</v>
      </c>
      <c r="D46" s="532"/>
      <c r="E46" s="537"/>
      <c r="F46" s="538"/>
      <c r="G46" s="539"/>
      <c r="H46" s="532"/>
      <c r="I46" s="532"/>
      <c r="J46" s="533"/>
    </row>
    <row r="47" spans="1:10" ht="15.75" x14ac:dyDescent="0.2">
      <c r="A47" s="527"/>
      <c r="B47" s="532"/>
      <c r="C47" s="532" t="str">
        <f>'BIEG - DANE'!C19</f>
        <v>Długość biegu</v>
      </c>
      <c r="D47" s="532"/>
      <c r="E47" s="537" t="s">
        <v>187</v>
      </c>
      <c r="F47" s="538" t="s">
        <v>449</v>
      </c>
      <c r="G47" s="540">
        <f>'BIEG - DANE'!E19</f>
        <v>512.83135629561502</v>
      </c>
      <c r="H47" s="532" t="s">
        <v>188</v>
      </c>
      <c r="I47" s="532"/>
      <c r="J47" s="533"/>
    </row>
    <row r="48" spans="1:10" ht="15.75" x14ac:dyDescent="0.2">
      <c r="A48" s="527"/>
      <c r="B48" s="532"/>
      <c r="C48" s="532" t="str">
        <f>'BIEG - DANE'!C20</f>
        <v>Długość biegu poz.</v>
      </c>
      <c r="D48" s="532"/>
      <c r="E48" s="537" t="s">
        <v>450</v>
      </c>
      <c r="F48" s="538" t="s">
        <v>449</v>
      </c>
      <c r="G48" s="540">
        <f>'BIEG - DANE'!E20</f>
        <v>436</v>
      </c>
      <c r="H48" s="532" t="s">
        <v>188</v>
      </c>
      <c r="I48" s="532"/>
      <c r="J48" s="533"/>
    </row>
    <row r="49" spans="1:10" ht="15.75" x14ac:dyDescent="0.2">
      <c r="A49" s="527"/>
      <c r="B49" s="532"/>
      <c r="C49" s="532" t="str">
        <f>'BIEG - DANE'!C21</f>
        <v>Długość biegu pion.</v>
      </c>
      <c r="D49" s="532"/>
      <c r="E49" s="537" t="s">
        <v>451</v>
      </c>
      <c r="F49" s="538" t="s">
        <v>449</v>
      </c>
      <c r="G49" s="540">
        <f>'BIEG - DANE'!E21</f>
        <v>270</v>
      </c>
      <c r="H49" s="532" t="s">
        <v>188</v>
      </c>
      <c r="I49" s="532"/>
      <c r="J49" s="533"/>
    </row>
    <row r="50" spans="1:10" ht="15.75" x14ac:dyDescent="0.2">
      <c r="A50" s="527"/>
      <c r="B50" s="532"/>
      <c r="C50" s="532" t="str">
        <f>'BIEG - DANE'!C22</f>
        <v>Ilość stopni</v>
      </c>
      <c r="D50" s="532"/>
      <c r="E50" s="537" t="s">
        <v>192</v>
      </c>
      <c r="F50" s="538" t="s">
        <v>449</v>
      </c>
      <c r="G50" s="550">
        <f>'BIEG - DANE'!E22</f>
        <v>14</v>
      </c>
      <c r="H50" s="532"/>
      <c r="I50" s="532"/>
      <c r="J50" s="533"/>
    </row>
    <row r="51" spans="1:10" ht="15.75" x14ac:dyDescent="0.2">
      <c r="A51" s="527"/>
      <c r="B51" s="532"/>
      <c r="C51" s="532" t="str">
        <f>'BIEG - DANE'!C23</f>
        <v>Szerokość stopnia</v>
      </c>
      <c r="D51" s="532"/>
      <c r="E51" s="537" t="s">
        <v>452</v>
      </c>
      <c r="F51" s="538" t="s">
        <v>449</v>
      </c>
      <c r="G51" s="540">
        <f>'BIEG - DANE'!E23</f>
        <v>28</v>
      </c>
      <c r="H51" s="532" t="s">
        <v>188</v>
      </c>
      <c r="I51" s="532"/>
      <c r="J51" s="533"/>
    </row>
    <row r="52" spans="1:10" ht="15.75" x14ac:dyDescent="0.2">
      <c r="A52" s="527"/>
      <c r="B52" s="532"/>
      <c r="C52" s="532" t="str">
        <f>'BIEG - DANE'!C24</f>
        <v>Wysokość stopnia</v>
      </c>
      <c r="D52" s="532"/>
      <c r="E52" s="537" t="s">
        <v>453</v>
      </c>
      <c r="F52" s="538" t="s">
        <v>449</v>
      </c>
      <c r="G52" s="540">
        <f>'BIEG - DANE'!E24</f>
        <v>17.5</v>
      </c>
      <c r="H52" s="532" t="s">
        <v>188</v>
      </c>
      <c r="I52" s="532"/>
      <c r="J52" s="533"/>
    </row>
    <row r="53" spans="1:10" ht="15.75" x14ac:dyDescent="0.2">
      <c r="A53" s="527"/>
      <c r="B53" s="532"/>
      <c r="C53" s="532" t="str">
        <f>'BIEG - DANE'!C25</f>
        <v>Grubość biegu</v>
      </c>
      <c r="D53" s="532"/>
      <c r="E53" s="537" t="s">
        <v>454</v>
      </c>
      <c r="F53" s="538" t="s">
        <v>449</v>
      </c>
      <c r="G53" s="540">
        <f>'BIEG - DANE'!E25</f>
        <v>20</v>
      </c>
      <c r="H53" s="532" t="s">
        <v>188</v>
      </c>
      <c r="I53" s="532"/>
      <c r="J53" s="533"/>
    </row>
    <row r="54" spans="1:10" ht="15.75" x14ac:dyDescent="0.2">
      <c r="A54" s="527"/>
      <c r="B54" s="532"/>
      <c r="C54" s="532" t="str">
        <f>'BIEG - DANE'!C26</f>
        <v>Szerokość biegu</v>
      </c>
      <c r="D54" s="532"/>
      <c r="E54" s="537" t="s">
        <v>199</v>
      </c>
      <c r="F54" s="538" t="s">
        <v>449</v>
      </c>
      <c r="G54" s="540">
        <f>'BIEG - DANE'!E26</f>
        <v>130</v>
      </c>
      <c r="H54" s="532" t="s">
        <v>188</v>
      </c>
      <c r="I54" s="532"/>
      <c r="J54" s="533"/>
    </row>
    <row r="55" spans="1:10" ht="15.75" x14ac:dyDescent="0.2">
      <c r="A55" s="527"/>
      <c r="B55" s="532"/>
      <c r="C55" s="532" t="str">
        <f>'BIEG - DANE'!C27</f>
        <v>Wysokość na dole</v>
      </c>
      <c r="D55" s="532"/>
      <c r="E55" s="537" t="s">
        <v>455</v>
      </c>
      <c r="F55" s="538" t="s">
        <v>449</v>
      </c>
      <c r="G55" s="540">
        <f>'BIEG - DANE'!E27</f>
        <v>25</v>
      </c>
      <c r="H55" s="532" t="s">
        <v>188</v>
      </c>
      <c r="I55" s="532"/>
      <c r="J55" s="533"/>
    </row>
    <row r="56" spans="1:10" ht="15.75" x14ac:dyDescent="0.2">
      <c r="A56" s="527"/>
      <c r="B56" s="532"/>
      <c r="C56" s="532" t="str">
        <f>'BIEG - DANE'!C28</f>
        <v>Długość na dole</v>
      </c>
      <c r="D56" s="532"/>
      <c r="E56" s="537" t="s">
        <v>456</v>
      </c>
      <c r="F56" s="538" t="s">
        <v>449</v>
      </c>
      <c r="G56" s="540">
        <f>'BIEG - DANE'!E28</f>
        <v>22</v>
      </c>
      <c r="H56" s="532" t="s">
        <v>188</v>
      </c>
      <c r="I56" s="532"/>
      <c r="J56" s="533"/>
    </row>
    <row r="57" spans="1:10" ht="15.75" x14ac:dyDescent="0.2">
      <c r="A57" s="527"/>
      <c r="B57" s="532"/>
      <c r="C57" s="532" t="str">
        <f>'BIEG - DANE'!C29</f>
        <v>Wysokość na górze</v>
      </c>
      <c r="D57" s="532"/>
      <c r="E57" s="537" t="s">
        <v>457</v>
      </c>
      <c r="F57" s="538" t="s">
        <v>449</v>
      </c>
      <c r="G57" s="540">
        <f>'BIEG - DANE'!E29</f>
        <v>25</v>
      </c>
      <c r="H57" s="532" t="s">
        <v>188</v>
      </c>
      <c r="I57" s="532"/>
      <c r="J57" s="533"/>
    </row>
    <row r="58" spans="1:10" ht="15.75" x14ac:dyDescent="0.2">
      <c r="A58" s="527"/>
      <c r="B58" s="532"/>
      <c r="C58" s="532" t="str">
        <f>'BIEG - DANE'!C30</f>
        <v>Długość na górze</v>
      </c>
      <c r="D58" s="532"/>
      <c r="E58" s="537" t="s">
        <v>458</v>
      </c>
      <c r="F58" s="538" t="s">
        <v>449</v>
      </c>
      <c r="G58" s="540">
        <f>'BIEG - DANE'!E30</f>
        <v>50</v>
      </c>
      <c r="H58" s="532" t="s">
        <v>188</v>
      </c>
      <c r="I58" s="532"/>
      <c r="J58" s="533"/>
    </row>
    <row r="59" spans="1:10" ht="20.100000000000001" customHeight="1" thickBot="1" x14ac:dyDescent="0.25">
      <c r="A59" s="541"/>
      <c r="B59" s="469"/>
      <c r="C59" s="469"/>
      <c r="D59" s="469"/>
      <c r="E59" s="470"/>
      <c r="F59" s="470"/>
      <c r="G59" s="470"/>
      <c r="H59" s="471"/>
      <c r="I59" s="462"/>
      <c r="J59" s="542"/>
    </row>
    <row r="60" spans="1:10" ht="20.100000000000001" customHeight="1" thickTop="1" x14ac:dyDescent="0.2">
      <c r="A60" s="503"/>
      <c r="B60" s="543"/>
      <c r="C60" s="543"/>
      <c r="D60" s="543"/>
      <c r="E60" s="502"/>
      <c r="F60" s="502"/>
      <c r="G60" s="502"/>
      <c r="H60" s="544"/>
      <c r="J60" s="500"/>
    </row>
    <row r="61" spans="1:10" ht="18" customHeight="1" x14ac:dyDescent="0.2">
      <c r="A61" s="503"/>
      <c r="B61" s="530" t="str">
        <f>'BIEG - DANE'!H13</f>
        <v>1.3</v>
      </c>
      <c r="C61" s="531" t="str">
        <f>'BIEG - DANE'!I13</f>
        <v>Obciążenia</v>
      </c>
      <c r="D61" s="532"/>
      <c r="E61" s="532"/>
      <c r="F61" s="538"/>
      <c r="J61" s="500"/>
    </row>
    <row r="62" spans="1:10" ht="18" customHeight="1" x14ac:dyDescent="0.2">
      <c r="A62" s="503"/>
      <c r="B62" s="505"/>
      <c r="C62" s="532" t="str">
        <f>'BIEG - DANE'!I14</f>
        <v>Obc. stałe</v>
      </c>
      <c r="D62" s="532"/>
      <c r="E62" s="532"/>
      <c r="F62" s="538" t="s">
        <v>449</v>
      </c>
      <c r="G62" s="545">
        <f>'BIEG - DANE'!K14</f>
        <v>2</v>
      </c>
      <c r="H62" s="546" t="str">
        <f>'BIEG - DANE'!L14</f>
        <v>kN/m2 (x 1,35)</v>
      </c>
      <c r="J62" s="500"/>
    </row>
    <row r="63" spans="1:10" ht="18" customHeight="1" x14ac:dyDescent="0.2">
      <c r="A63" s="503"/>
      <c r="B63" s="505"/>
      <c r="C63" s="532" t="str">
        <f>'BIEG - DANE'!I15</f>
        <v>Obc. zmienne</v>
      </c>
      <c r="D63" s="532"/>
      <c r="E63" s="532"/>
      <c r="F63" s="538" t="s">
        <v>449</v>
      </c>
      <c r="G63" s="545">
        <f>'BIEG - DANE'!K15</f>
        <v>5</v>
      </c>
      <c r="H63" s="546" t="str">
        <f>'BIEG - DANE'!L15</f>
        <v>kN/m2 (x 1,5)</v>
      </c>
      <c r="J63" s="500"/>
    </row>
    <row r="64" spans="1:10" ht="18" customHeight="1" x14ac:dyDescent="0.2">
      <c r="A64" s="547"/>
      <c r="B64" s="505"/>
      <c r="C64" s="532" t="str">
        <f>'BIEG - DANE'!I16</f>
        <v xml:space="preserve">Beton </v>
      </c>
      <c r="D64" s="532"/>
      <c r="E64" s="532"/>
      <c r="F64" s="538" t="s">
        <v>449</v>
      </c>
      <c r="G64" s="545">
        <f>'BIEG - DANE'!K16</f>
        <v>25</v>
      </c>
      <c r="H64" s="546" t="str">
        <f>'BIEG - DANE'!L16</f>
        <v>kN/m3 (x 1,35)</v>
      </c>
      <c r="J64" s="500"/>
    </row>
    <row r="65" spans="1:10" ht="18" customHeight="1" thickBot="1" x14ac:dyDescent="0.25">
      <c r="A65" s="549"/>
      <c r="B65" s="459"/>
      <c r="C65" s="460"/>
      <c r="D65" s="460"/>
      <c r="E65" s="460"/>
      <c r="F65" s="461"/>
      <c r="G65" s="467"/>
      <c r="H65" s="468"/>
      <c r="I65" s="462"/>
      <c r="J65" s="542"/>
    </row>
    <row r="66" spans="1:10" ht="18" customHeight="1" thickTop="1" x14ac:dyDescent="0.2">
      <c r="A66" s="958"/>
      <c r="B66" s="959"/>
      <c r="C66" s="960"/>
      <c r="D66" s="960"/>
      <c r="E66" s="960"/>
      <c r="F66" s="961"/>
      <c r="G66" s="962"/>
      <c r="H66" s="963"/>
      <c r="I66" s="964"/>
      <c r="J66" s="965"/>
    </row>
    <row r="67" spans="1:10" ht="18" customHeight="1" x14ac:dyDescent="0.2">
      <c r="A67" s="548"/>
      <c r="B67" s="530" t="str">
        <f>'BIEG - DANE'!H21</f>
        <v>1.4</v>
      </c>
      <c r="C67" s="531" t="str">
        <f>'BIEG - DANE'!I21</f>
        <v>Produkt</v>
      </c>
      <c r="D67" s="532"/>
      <c r="E67" s="966"/>
      <c r="F67" s="538"/>
      <c r="G67" s="550"/>
      <c r="I67" s="551"/>
      <c r="J67" s="500"/>
    </row>
    <row r="68" spans="1:10" ht="18" customHeight="1" x14ac:dyDescent="0.2">
      <c r="A68" s="548"/>
      <c r="B68" s="505"/>
      <c r="C68" s="532" t="str">
        <f>'BIEG - DANE'!I22</f>
        <v>Podparcie na dole</v>
      </c>
      <c r="D68" s="532"/>
      <c r="E68" s="966"/>
      <c r="F68" s="538" t="s">
        <v>449</v>
      </c>
      <c r="G68" s="550" t="str">
        <f>'BIEG - DANE'!L22</f>
        <v>Typ F</v>
      </c>
      <c r="I68" s="551"/>
      <c r="J68" s="500"/>
    </row>
    <row r="69" spans="1:10" ht="18" customHeight="1" x14ac:dyDescent="0.2">
      <c r="A69" s="548"/>
      <c r="B69" s="505"/>
      <c r="C69" s="532" t="str">
        <f>IF(G68="Typ F",'BIEG - DANE'!I23,"")</f>
        <v>Wys. konsoli na dole</v>
      </c>
      <c r="D69" s="532"/>
      <c r="E69" s="966" t="str">
        <f>IF(C69="","",'BIEG - DANE'!K23)</f>
        <v>[H4]</v>
      </c>
      <c r="F69" s="538" t="str">
        <f>IF(C69&lt;&gt;"","=","")</f>
        <v>=</v>
      </c>
      <c r="G69" s="550">
        <f>IF($G$68="Typ F",'BIEG - DANE'!L23,"")</f>
        <v>15</v>
      </c>
      <c r="H69" s="967" t="str">
        <f>IF($G$68="Typ F",'BIEG - DANE'!M23,"")</f>
        <v>cm</v>
      </c>
      <c r="I69" s="551"/>
      <c r="J69" s="500"/>
    </row>
    <row r="70" spans="1:10" ht="18" customHeight="1" x14ac:dyDescent="0.2">
      <c r="A70" s="548"/>
      <c r="B70" s="505"/>
      <c r="C70" s="532" t="str">
        <f>IF(G68="Typ F",'BIEG - DANE'!I24,"")</f>
        <v>Dł. konsoli na dole</v>
      </c>
      <c r="D70" s="532"/>
      <c r="E70" s="966" t="str">
        <f>IF(C70="","",'BIEG - DANE'!K24)</f>
        <v>[L4]</v>
      </c>
      <c r="F70" s="538" t="str">
        <f>IF(C70&lt;&gt;"","=","")</f>
        <v>=</v>
      </c>
      <c r="G70" s="550">
        <f>IF(G68="Typ F",'BIEG - DANE'!L24,"")</f>
        <v>14</v>
      </c>
      <c r="H70" s="967" t="str">
        <f>IF($G$68="Typ F",'BIEG - DANE'!M24,"")</f>
        <v>cm</v>
      </c>
      <c r="I70" s="551"/>
      <c r="J70" s="500"/>
    </row>
    <row r="71" spans="1:10" ht="18" customHeight="1" x14ac:dyDescent="0.2">
      <c r="A71" s="548"/>
      <c r="B71" s="505"/>
      <c r="C71" s="532" t="str">
        <f>'BIEG - DANE'!I25</f>
        <v/>
      </c>
      <c r="D71" s="532"/>
      <c r="E71" s="966" t="str">
        <f>IF(C71="","",'BIEG - DANE'!K25)</f>
        <v/>
      </c>
      <c r="F71" s="538" t="str">
        <f>IF(C71&lt;&gt;"","=","")</f>
        <v/>
      </c>
      <c r="G71" s="540" t="str">
        <f>IF(C71&lt;&gt;"",'BIEG - DANE'!L25,"")</f>
        <v/>
      </c>
      <c r="H71" s="967" t="str">
        <f>IF(C71&lt;&gt;"",'BIEG - DANE'!M25,"")</f>
        <v/>
      </c>
      <c r="I71" s="551"/>
      <c r="J71" s="500"/>
    </row>
    <row r="72" spans="1:10" ht="18" customHeight="1" x14ac:dyDescent="0.2">
      <c r="A72" s="548"/>
      <c r="B72" s="505"/>
      <c r="C72" s="532"/>
      <c r="D72" s="532"/>
      <c r="E72" s="966"/>
      <c r="F72" s="538"/>
      <c r="G72" s="540"/>
      <c r="H72" s="967"/>
      <c r="I72" s="551"/>
      <c r="J72" s="500"/>
    </row>
    <row r="73" spans="1:10" ht="18" customHeight="1" x14ac:dyDescent="0.2">
      <c r="A73" s="548"/>
      <c r="B73" s="505"/>
      <c r="C73" s="532" t="str">
        <f>'BIEG - DANE'!I26</f>
        <v>Podparcie na górze</v>
      </c>
      <c r="D73" s="532"/>
      <c r="F73" s="538" t="s">
        <v>449</v>
      </c>
      <c r="G73" s="550" t="str">
        <f>'BIEG - DANE'!L26</f>
        <v>Typ F</v>
      </c>
      <c r="I73" s="551"/>
      <c r="J73" s="500"/>
    </row>
    <row r="74" spans="1:10" ht="18" customHeight="1" x14ac:dyDescent="0.2">
      <c r="A74" s="548"/>
      <c r="B74" s="505"/>
      <c r="C74" s="532" t="str">
        <f>IF(G73="Typ F",'BIEG - DANE'!I27,"")</f>
        <v>Wys. konsoli na górze</v>
      </c>
      <c r="D74" s="532"/>
      <c r="E74" s="966" t="str">
        <f>IF(C74="","",'BIEG - DANE'!K27)</f>
        <v>[H5]</v>
      </c>
      <c r="F74" s="538" t="str">
        <f>IF(C74&lt;&gt;"","=","")</f>
        <v>=</v>
      </c>
      <c r="G74" s="550">
        <f>IF($G$73="Typ F",'BIEG - DANE'!L27,"")</f>
        <v>15</v>
      </c>
      <c r="H74" s="967" t="str">
        <f>IF($G$73="Typ F",'BIEG - DANE'!M27,"")</f>
        <v>cm</v>
      </c>
      <c r="I74" s="551"/>
      <c r="J74" s="500"/>
    </row>
    <row r="75" spans="1:10" ht="18" customHeight="1" x14ac:dyDescent="0.2">
      <c r="A75" s="548"/>
      <c r="B75" s="505"/>
      <c r="C75" s="532" t="str">
        <f>IF(G73="Typ F",'BIEG - DANE'!I28,"")</f>
        <v>Dł. konsoli na górze</v>
      </c>
      <c r="D75" s="532"/>
      <c r="E75" s="966" t="str">
        <f>IF(C75="","",'BIEG - DANE'!K28)</f>
        <v>[L5]</v>
      </c>
      <c r="F75" s="538" t="str">
        <f>IF(C75&lt;&gt;"","=","")</f>
        <v>=</v>
      </c>
      <c r="G75" s="550">
        <f>IF($G$73="Typ F",'BIEG - DANE'!L28,"")</f>
        <v>13</v>
      </c>
      <c r="H75" s="967" t="str">
        <f>IF($G$73="Typ F",'BIEG - DANE'!M28,"")</f>
        <v>cm</v>
      </c>
      <c r="I75" s="551"/>
      <c r="J75" s="500"/>
    </row>
    <row r="76" spans="1:10" ht="18" customHeight="1" x14ac:dyDescent="0.2">
      <c r="A76" s="548"/>
      <c r="B76" s="505"/>
      <c r="C76" s="532" t="str">
        <f>'BIEG - DANE'!I29</f>
        <v/>
      </c>
      <c r="D76" s="532"/>
      <c r="E76" s="966" t="str">
        <f>IF(C76="","",'BIEG - DANE'!K29)</f>
        <v/>
      </c>
      <c r="F76" s="538" t="str">
        <f>IF(C76&lt;&gt;"","=","")</f>
        <v/>
      </c>
      <c r="G76" s="540" t="str">
        <f>IF(C76&lt;&gt;"",'BIEG - DANE'!L29,"")</f>
        <v/>
      </c>
      <c r="H76" s="967" t="str">
        <f>IF(C76&lt;&gt;"",'BIEG - DANE'!M29,"")</f>
        <v/>
      </c>
      <c r="I76" s="551"/>
      <c r="J76" s="500"/>
    </row>
    <row r="77" spans="1:10" ht="20.100000000000001" customHeight="1" x14ac:dyDescent="0.2">
      <c r="A77" s="552"/>
      <c r="B77" s="464"/>
      <c r="C77" s="464"/>
      <c r="D77" s="464"/>
      <c r="E77" s="968"/>
      <c r="F77" s="968"/>
      <c r="G77" s="969"/>
      <c r="H77" s="970"/>
      <c r="I77" s="465"/>
      <c r="J77" s="553"/>
    </row>
    <row r="78" spans="1:10" ht="20.100000000000001" customHeight="1" x14ac:dyDescent="0.2">
      <c r="A78" s="1136" t="str">
        <f>Texte_Sprachen!B133</f>
        <v>Geometria, schemat statyczny i rozkład obciążeń</v>
      </c>
      <c r="B78" s="1137"/>
      <c r="C78" s="1137"/>
      <c r="D78" s="1137"/>
      <c r="E78" s="1137"/>
      <c r="F78" s="1137"/>
      <c r="G78" s="1137"/>
      <c r="H78" s="1137"/>
      <c r="I78" s="1137"/>
      <c r="J78" s="1138"/>
    </row>
    <row r="79" spans="1:10" ht="20.100000000000001" customHeight="1" x14ac:dyDescent="0.2">
      <c r="A79" s="904"/>
      <c r="B79" s="905"/>
      <c r="C79" s="905"/>
      <c r="D79" s="905"/>
      <c r="E79" s="906"/>
      <c r="F79" s="906"/>
      <c r="G79" s="907"/>
      <c r="H79" s="908"/>
      <c r="I79" s="909"/>
      <c r="J79" s="910"/>
    </row>
    <row r="80" spans="1:10" ht="20.100000000000001" customHeight="1" x14ac:dyDescent="0.2">
      <c r="A80" s="904"/>
      <c r="B80" s="905"/>
      <c r="C80" s="905"/>
      <c r="D80" s="905"/>
      <c r="E80" s="906"/>
      <c r="F80" s="906"/>
      <c r="G80" s="907"/>
      <c r="H80" s="908"/>
      <c r="I80" s="909"/>
      <c r="J80" s="910"/>
    </row>
    <row r="81" spans="1:10" ht="20.100000000000001" customHeight="1" x14ac:dyDescent="0.2">
      <c r="A81" s="904"/>
      <c r="B81" s="905"/>
      <c r="C81" s="905"/>
      <c r="D81" s="905"/>
      <c r="E81" s="906"/>
      <c r="F81" s="906"/>
      <c r="G81" s="907"/>
      <c r="H81" s="908"/>
      <c r="I81" s="909"/>
      <c r="J81" s="910"/>
    </row>
    <row r="82" spans="1:10" ht="20.100000000000001" customHeight="1" x14ac:dyDescent="0.2">
      <c r="A82" s="904"/>
      <c r="B82" s="905"/>
      <c r="C82" s="905"/>
      <c r="D82" s="905"/>
      <c r="E82" s="906"/>
      <c r="F82" s="906"/>
      <c r="G82" s="907"/>
      <c r="H82" s="908"/>
      <c r="I82" s="909"/>
      <c r="J82" s="910"/>
    </row>
    <row r="83" spans="1:10" ht="20.100000000000001" customHeight="1" x14ac:dyDescent="0.2">
      <c r="A83" s="904"/>
      <c r="B83" s="905"/>
      <c r="C83" s="905"/>
      <c r="D83" s="905"/>
      <c r="E83" s="906"/>
      <c r="F83" s="906"/>
      <c r="G83" s="907"/>
      <c r="H83" s="908"/>
      <c r="I83" s="909"/>
      <c r="J83" s="910"/>
    </row>
    <row r="84" spans="1:10" ht="20.100000000000001" customHeight="1" x14ac:dyDescent="0.2">
      <c r="A84" s="904"/>
      <c r="B84" s="905"/>
      <c r="C84" s="905"/>
      <c r="D84" s="905"/>
      <c r="E84" s="906"/>
      <c r="F84" s="906"/>
      <c r="G84" s="907"/>
      <c r="H84" s="908"/>
      <c r="I84" s="909"/>
      <c r="J84" s="910"/>
    </row>
    <row r="85" spans="1:10" ht="20.100000000000001" customHeight="1" x14ac:dyDescent="0.2">
      <c r="A85" s="904"/>
      <c r="B85" s="905"/>
      <c r="C85" s="905"/>
      <c r="D85" s="905"/>
      <c r="E85" s="906"/>
      <c r="F85" s="906"/>
      <c r="G85" s="907"/>
      <c r="H85" s="908"/>
      <c r="I85" s="909"/>
      <c r="J85" s="910"/>
    </row>
    <row r="86" spans="1:10" ht="20.100000000000001" customHeight="1" x14ac:dyDescent="0.2">
      <c r="A86" s="904"/>
      <c r="B86" s="905"/>
      <c r="C86" s="905"/>
      <c r="D86" s="905"/>
      <c r="E86" s="906"/>
      <c r="F86" s="906"/>
      <c r="G86" s="907"/>
      <c r="H86" s="908"/>
      <c r="I86" s="909"/>
      <c r="J86" s="910"/>
    </row>
    <row r="87" spans="1:10" ht="20.100000000000001" customHeight="1" x14ac:dyDescent="0.2">
      <c r="A87" s="904"/>
      <c r="B87" s="905"/>
      <c r="C87" s="905"/>
      <c r="D87" s="905"/>
      <c r="E87" s="906"/>
      <c r="F87" s="906"/>
      <c r="G87" s="907"/>
      <c r="H87" s="908"/>
      <c r="I87" s="909"/>
      <c r="J87" s="910"/>
    </row>
    <row r="88" spans="1:10" ht="20.100000000000001" customHeight="1" x14ac:dyDescent="0.2">
      <c r="A88" s="904"/>
      <c r="B88" s="905"/>
      <c r="C88" s="905"/>
      <c r="D88" s="905"/>
      <c r="E88" s="906"/>
      <c r="F88" s="906"/>
      <c r="G88" s="907"/>
      <c r="H88" s="908"/>
      <c r="I88" s="909"/>
      <c r="J88" s="910"/>
    </row>
    <row r="89" spans="1:10" ht="20.100000000000001" customHeight="1" x14ac:dyDescent="0.2">
      <c r="A89" s="904"/>
      <c r="B89" s="905"/>
      <c r="C89" s="905"/>
      <c r="D89" s="905"/>
      <c r="E89" s="906"/>
      <c r="F89" s="906"/>
      <c r="G89" s="907"/>
      <c r="H89" s="908"/>
      <c r="I89" s="909"/>
      <c r="J89" s="910"/>
    </row>
    <row r="90" spans="1:10" ht="20.100000000000001" customHeight="1" x14ac:dyDescent="0.2">
      <c r="A90" s="904"/>
      <c r="B90" s="905"/>
      <c r="C90" s="905"/>
      <c r="D90" s="905"/>
      <c r="E90" s="906"/>
      <c r="F90" s="906"/>
      <c r="G90" s="907"/>
      <c r="H90" s="908"/>
      <c r="I90" s="909"/>
      <c r="J90" s="910"/>
    </row>
    <row r="91" spans="1:10" ht="20.100000000000001" customHeight="1" x14ac:dyDescent="0.2">
      <c r="A91" s="904"/>
      <c r="B91" s="905"/>
      <c r="C91" s="905"/>
      <c r="D91" s="905"/>
      <c r="E91" s="906"/>
      <c r="F91" s="906"/>
      <c r="G91" s="907"/>
      <c r="H91" s="908"/>
      <c r="I91" s="909"/>
      <c r="J91" s="910"/>
    </row>
    <row r="92" spans="1:10" ht="20.100000000000001" customHeight="1" x14ac:dyDescent="0.2">
      <c r="A92" s="904"/>
      <c r="B92" s="905"/>
      <c r="C92" s="905"/>
      <c r="D92" s="905"/>
      <c r="E92" s="906"/>
      <c r="F92" s="906"/>
      <c r="G92" s="907"/>
      <c r="H92" s="908"/>
      <c r="I92" s="909"/>
      <c r="J92" s="910"/>
    </row>
    <row r="93" spans="1:10" ht="20.100000000000001" customHeight="1" x14ac:dyDescent="0.2">
      <c r="A93" s="904"/>
      <c r="B93" s="905"/>
      <c r="C93" s="905"/>
      <c r="D93" s="905"/>
      <c r="E93" s="906"/>
      <c r="F93" s="906"/>
      <c r="G93" s="907"/>
      <c r="H93" s="908"/>
      <c r="I93" s="909"/>
      <c r="J93" s="910"/>
    </row>
    <row r="94" spans="1:10" ht="20.100000000000001" customHeight="1" x14ac:dyDescent="0.2">
      <c r="A94" s="904"/>
      <c r="B94" s="905"/>
      <c r="C94" s="905"/>
      <c r="D94" s="905"/>
      <c r="E94" s="906"/>
      <c r="F94" s="906"/>
      <c r="G94" s="907"/>
      <c r="H94" s="908"/>
      <c r="I94" s="909"/>
      <c r="J94" s="910"/>
    </row>
    <row r="95" spans="1:10" ht="20.100000000000001" customHeight="1" x14ac:dyDescent="0.2">
      <c r="A95" s="904"/>
      <c r="B95" s="905"/>
      <c r="C95" s="905"/>
      <c r="D95" s="905"/>
      <c r="E95" s="906"/>
      <c r="F95" s="906"/>
      <c r="G95" s="907"/>
      <c r="H95" s="908"/>
      <c r="I95" s="909"/>
      <c r="J95" s="910"/>
    </row>
    <row r="96" spans="1:10" ht="20.100000000000001" customHeight="1" x14ac:dyDescent="0.2">
      <c r="A96" s="904"/>
      <c r="B96" s="905"/>
      <c r="C96" s="905"/>
      <c r="D96" s="905"/>
      <c r="E96" s="906"/>
      <c r="F96" s="906"/>
      <c r="G96" s="907"/>
      <c r="H96" s="908"/>
      <c r="I96" s="909"/>
      <c r="J96" s="910"/>
    </row>
    <row r="97" spans="1:10" ht="20.100000000000001" customHeight="1" x14ac:dyDescent="0.2">
      <c r="A97" s="904"/>
      <c r="B97" s="905"/>
      <c r="C97" s="905"/>
      <c r="D97" s="905"/>
      <c r="E97" s="906"/>
      <c r="F97" s="906"/>
      <c r="G97" s="907"/>
      <c r="H97" s="908"/>
      <c r="I97" s="909"/>
      <c r="J97" s="910"/>
    </row>
    <row r="98" spans="1:10" ht="20.100000000000001" customHeight="1" x14ac:dyDescent="0.2">
      <c r="A98" s="904"/>
      <c r="B98" s="905"/>
      <c r="C98" s="905"/>
      <c r="D98" s="905"/>
      <c r="E98" s="906"/>
      <c r="F98" s="906"/>
      <c r="G98" s="907"/>
      <c r="H98" s="908"/>
      <c r="I98" s="909"/>
      <c r="J98" s="910"/>
    </row>
    <row r="99" spans="1:10" ht="20.100000000000001" customHeight="1" x14ac:dyDescent="0.2">
      <c r="A99" s="904"/>
      <c r="B99" s="905"/>
      <c r="C99" s="905"/>
      <c r="D99" s="905"/>
      <c r="E99" s="906"/>
      <c r="F99" s="906"/>
      <c r="G99" s="907"/>
      <c r="H99" s="908"/>
      <c r="I99" s="909"/>
      <c r="J99" s="910"/>
    </row>
    <row r="100" spans="1:10" ht="20.100000000000001" customHeight="1" x14ac:dyDescent="0.2">
      <c r="A100" s="904"/>
      <c r="B100" s="905"/>
      <c r="C100" s="905"/>
      <c r="D100" s="905"/>
      <c r="E100" s="906"/>
      <c r="F100" s="906"/>
      <c r="G100" s="907"/>
      <c r="H100" s="908"/>
      <c r="I100" s="909"/>
      <c r="J100" s="910"/>
    </row>
    <row r="101" spans="1:10" ht="20.100000000000001" customHeight="1" x14ac:dyDescent="0.2">
      <c r="A101" s="904"/>
      <c r="B101" s="905"/>
      <c r="C101" s="905"/>
      <c r="D101" s="905"/>
      <c r="E101" s="906"/>
      <c r="F101" s="906"/>
      <c r="G101" s="907"/>
      <c r="H101" s="908"/>
      <c r="I101" s="909"/>
      <c r="J101" s="910"/>
    </row>
    <row r="102" spans="1:10" ht="20.100000000000001" customHeight="1" x14ac:dyDescent="0.2">
      <c r="A102" s="904"/>
      <c r="B102" s="905"/>
      <c r="C102" s="905"/>
      <c r="D102" s="905"/>
      <c r="E102" s="906"/>
      <c r="F102" s="906"/>
      <c r="G102" s="907"/>
      <c r="H102" s="908"/>
      <c r="I102" s="909"/>
      <c r="J102" s="910"/>
    </row>
    <row r="103" spans="1:10" ht="20.100000000000001" customHeight="1" x14ac:dyDescent="0.2">
      <c r="A103" s="904"/>
      <c r="B103" s="905"/>
      <c r="C103" s="905"/>
      <c r="D103" s="905"/>
      <c r="E103" s="906"/>
      <c r="F103" s="906"/>
      <c r="G103" s="907"/>
      <c r="H103" s="908"/>
      <c r="I103" s="909"/>
      <c r="J103" s="910"/>
    </row>
    <row r="104" spans="1:10" ht="20.100000000000001" customHeight="1" x14ac:dyDescent="0.2">
      <c r="A104" s="904"/>
      <c r="B104" s="905"/>
      <c r="C104" s="905"/>
      <c r="D104" s="905"/>
      <c r="E104" s="906"/>
      <c r="F104" s="906"/>
      <c r="G104" s="907"/>
      <c r="H104" s="908"/>
      <c r="I104" s="909"/>
      <c r="J104" s="910"/>
    </row>
    <row r="105" spans="1:10" ht="20.100000000000001" customHeight="1" x14ac:dyDescent="0.2">
      <c r="A105" s="904"/>
      <c r="B105" s="905"/>
      <c r="C105" s="905"/>
      <c r="D105" s="905"/>
      <c r="E105" s="906"/>
      <c r="F105" s="906"/>
      <c r="G105" s="907"/>
      <c r="H105" s="908"/>
      <c r="I105" s="909"/>
      <c r="J105" s="910"/>
    </row>
    <row r="106" spans="1:10" ht="20.100000000000001" customHeight="1" x14ac:dyDescent="0.2">
      <c r="A106" s="904"/>
      <c r="B106" s="905"/>
      <c r="C106" s="905"/>
      <c r="D106" s="905"/>
      <c r="E106" s="906"/>
      <c r="F106" s="906"/>
      <c r="G106" s="907"/>
      <c r="H106" s="908"/>
      <c r="I106" s="909"/>
      <c r="J106" s="910"/>
    </row>
    <row r="107" spans="1:10" ht="20.100000000000001" customHeight="1" x14ac:dyDescent="0.2">
      <c r="A107" s="904"/>
      <c r="B107" s="905"/>
      <c r="C107" s="905"/>
      <c r="D107" s="905"/>
      <c r="E107" s="906"/>
      <c r="F107" s="906"/>
      <c r="G107" s="907"/>
      <c r="H107" s="908"/>
      <c r="I107" s="909"/>
      <c r="J107" s="910"/>
    </row>
    <row r="108" spans="1:10" ht="20.100000000000001" customHeight="1" x14ac:dyDescent="0.2">
      <c r="A108" s="904"/>
      <c r="B108" s="905"/>
      <c r="C108" s="905"/>
      <c r="D108" s="905"/>
      <c r="E108" s="906"/>
      <c r="F108" s="906"/>
      <c r="G108" s="907"/>
      <c r="H108" s="908"/>
      <c r="I108" s="909"/>
      <c r="J108" s="910"/>
    </row>
    <row r="109" spans="1:10" ht="20.100000000000001" customHeight="1" x14ac:dyDescent="0.2">
      <c r="A109" s="904"/>
      <c r="B109" s="905"/>
      <c r="C109" s="905"/>
      <c r="D109" s="905"/>
      <c r="E109" s="906"/>
      <c r="F109" s="906"/>
      <c r="G109" s="907"/>
      <c r="H109" s="908"/>
      <c r="I109" s="909"/>
      <c r="J109" s="910"/>
    </row>
    <row r="110" spans="1:10" ht="20.100000000000001" customHeight="1" x14ac:dyDescent="0.2">
      <c r="A110" s="911"/>
      <c r="B110" s="9"/>
      <c r="C110" s="9"/>
      <c r="D110" s="9"/>
      <c r="E110" s="912"/>
      <c r="F110" s="912"/>
      <c r="G110" s="913"/>
      <c r="H110" s="914"/>
      <c r="I110" s="915"/>
      <c r="J110" s="916"/>
    </row>
    <row r="111" spans="1:10" ht="20.100000000000001" customHeight="1" x14ac:dyDescent="0.2">
      <c r="A111" s="1136" t="str">
        <f>Texte_Sprachen!B116</f>
        <v>Wyniki</v>
      </c>
      <c r="B111" s="1137"/>
      <c r="C111" s="1137"/>
      <c r="D111" s="1137"/>
      <c r="E111" s="1137"/>
      <c r="F111" s="1137"/>
      <c r="G111" s="1137"/>
      <c r="H111" s="1137"/>
      <c r="I111" s="1137"/>
      <c r="J111" s="1138"/>
    </row>
    <row r="112" spans="1:10" ht="20.100000000000001" customHeight="1" x14ac:dyDescent="0.2">
      <c r="A112" s="527"/>
      <c r="B112" s="528"/>
      <c r="C112" s="554" t="str">
        <f>IF(Eingabekonfig_Treppenlauf!B129&gt;0,Texte_Sprachen!B123,"")</f>
        <v/>
      </c>
      <c r="D112" s="528"/>
      <c r="E112" s="528"/>
      <c r="F112" s="528"/>
      <c r="G112" s="528"/>
      <c r="H112" s="528"/>
      <c r="I112" s="528"/>
      <c r="J112" s="555"/>
    </row>
    <row r="113" spans="1:10" ht="20.100000000000001" customHeight="1" x14ac:dyDescent="0.2">
      <c r="A113" s="503"/>
      <c r="B113" s="556" t="s">
        <v>208</v>
      </c>
      <c r="C113" s="557" t="str">
        <f>Texte_Sprachen!B122</f>
        <v>Założone obciążenia</v>
      </c>
      <c r="D113" s="4"/>
      <c r="E113" s="508"/>
      <c r="F113" s="508"/>
      <c r="G113" s="538"/>
      <c r="H113" s="890" t="str">
        <f>Texte_Sprachen!B160</f>
        <v>Char.</v>
      </c>
      <c r="I113" s="890" t="str">
        <f>Texte_Sprachen!B161</f>
        <v>Obl.</v>
      </c>
      <c r="J113" s="500"/>
    </row>
    <row r="114" spans="1:10" ht="18.75" customHeight="1" x14ac:dyDescent="0.2">
      <c r="A114" s="803"/>
      <c r="B114" s="1121" t="str">
        <f>"* = "&amp;Texte_Sprachen!B156</f>
        <v>* = Spocznik</v>
      </c>
      <c r="C114" s="804" t="str">
        <f>'BIEG - DANE'!I17</f>
        <v>Ciężar własny betonu</v>
      </c>
      <c r="D114" s="799"/>
      <c r="E114" s="800"/>
      <c r="F114" s="796" t="s">
        <v>979</v>
      </c>
      <c r="G114" s="885" t="s">
        <v>449</v>
      </c>
      <c r="H114" s="900">
        <f>'BIEG - DANE'!K17</f>
        <v>44.715757523534919</v>
      </c>
      <c r="I114" s="892">
        <f>H114*1.35</f>
        <v>60.366272656772146</v>
      </c>
      <c r="J114" s="895" t="s">
        <v>185</v>
      </c>
    </row>
    <row r="115" spans="1:10" ht="18.75" customHeight="1" x14ac:dyDescent="0.2">
      <c r="A115" s="503"/>
      <c r="B115" s="1122"/>
      <c r="C115" s="805" t="str">
        <f>Texte_Sprachen!B121</f>
        <v>Obciążenia stałe</v>
      </c>
      <c r="D115" s="558"/>
      <c r="F115" s="559" t="s">
        <v>980</v>
      </c>
      <c r="G115" s="886" t="s">
        <v>449</v>
      </c>
      <c r="H115" s="901">
        <f>'BIEG - DANE'!E35-H114</f>
        <v>11.335999999999999</v>
      </c>
      <c r="I115" s="893">
        <f>H115*1.35</f>
        <v>15.303599999999999</v>
      </c>
      <c r="J115" s="879" t="s">
        <v>185</v>
      </c>
    </row>
    <row r="116" spans="1:10" ht="18.75" customHeight="1" x14ac:dyDescent="0.2">
      <c r="A116" s="503"/>
      <c r="B116" s="1122"/>
      <c r="C116" s="805" t="str">
        <f>Texte_Sprachen!B117</f>
        <v>Obciążenia zmienne</v>
      </c>
      <c r="D116" s="558"/>
      <c r="F116" s="559" t="s">
        <v>981</v>
      </c>
      <c r="G116" s="886" t="s">
        <v>449</v>
      </c>
      <c r="H116" s="901">
        <f>'BIEG - DANE'!E20*'BIEG - DANE'!E26/10000*'BIEG - DANE'!K15</f>
        <v>28.34</v>
      </c>
      <c r="I116" s="893">
        <f>H116*1.5</f>
        <v>42.51</v>
      </c>
      <c r="J116" s="879" t="s">
        <v>185</v>
      </c>
    </row>
    <row r="117" spans="1:10" ht="18.75" customHeight="1" x14ac:dyDescent="0.2">
      <c r="A117" s="891"/>
      <c r="B117" s="1123"/>
      <c r="C117" s="806" t="str">
        <f>Texte_Sprachen!B77</f>
        <v>Obciążenie całkowite</v>
      </c>
      <c r="D117" s="801"/>
      <c r="E117" s="802"/>
      <c r="F117" s="798" t="s">
        <v>982</v>
      </c>
      <c r="G117" s="887" t="s">
        <v>449</v>
      </c>
      <c r="H117" s="902">
        <f>H114+H115+H116</f>
        <v>84.39175752353492</v>
      </c>
      <c r="I117" s="894">
        <f>I114+I115+I116</f>
        <v>118.17987265677215</v>
      </c>
      <c r="J117" s="880" t="s">
        <v>185</v>
      </c>
    </row>
    <row r="118" spans="1:10" ht="18" customHeight="1" thickBot="1" x14ac:dyDescent="0.25">
      <c r="A118" s="541"/>
      <c r="B118" s="459"/>
      <c r="C118" s="473"/>
      <c r="D118" s="473"/>
      <c r="E118" s="462"/>
      <c r="F118" s="474"/>
      <c r="G118" s="475"/>
      <c r="H118" s="476"/>
      <c r="I118" s="477"/>
      <c r="J118" s="542"/>
    </row>
    <row r="119" spans="1:10" ht="18" customHeight="1" thickTop="1" x14ac:dyDescent="0.2">
      <c r="A119" s="503"/>
      <c r="B119" s="505"/>
      <c r="C119" s="563" t="str">
        <f>C112</f>
        <v/>
      </c>
      <c r="D119" s="558"/>
      <c r="F119" s="559"/>
      <c r="G119" s="560"/>
      <c r="H119" s="561"/>
      <c r="I119" s="562"/>
      <c r="J119" s="500"/>
    </row>
    <row r="120" spans="1:10" s="7" customFormat="1" ht="20.100000000000001" customHeight="1" x14ac:dyDescent="0.25">
      <c r="A120" s="564"/>
      <c r="B120" s="556" t="s">
        <v>210</v>
      </c>
      <c r="C120" s="565" t="str">
        <f>Texte_Sprachen!B127</f>
        <v>Reakcje podporowe</v>
      </c>
      <c r="D120" s="557"/>
      <c r="E120" s="557"/>
      <c r="F120" s="566"/>
      <c r="G120" s="567"/>
      <c r="H120" s="567"/>
      <c r="I120" s="567"/>
      <c r="J120" s="568"/>
    </row>
    <row r="121" spans="1:10" s="7" customFormat="1" ht="20.100000000000001" customHeight="1" x14ac:dyDescent="0.25">
      <c r="A121" s="564"/>
      <c r="B121" s="567"/>
      <c r="C121" s="565" t="str">
        <f>Texte_Sprachen!B128</f>
        <v>Podparcie na dole</v>
      </c>
      <c r="D121" s="557"/>
      <c r="E121" s="557"/>
      <c r="F121" s="566"/>
      <c r="G121" s="567"/>
      <c r="H121" s="567"/>
      <c r="I121" s="567"/>
      <c r="J121" s="568"/>
    </row>
    <row r="122" spans="1:10" ht="18" customHeight="1" x14ac:dyDescent="0.2">
      <c r="A122" s="569"/>
      <c r="B122" s="4"/>
      <c r="C122" s="570" t="str">
        <f>Texte_Sprachen!B130</f>
        <v>Tronsole typu:</v>
      </c>
      <c r="D122" s="571"/>
      <c r="E122" s="572" t="str">
        <f>'BIEG - DANE'!D47&amp;'BIEG - DANE'!E47</f>
        <v>1x F-V2</v>
      </c>
      <c r="J122" s="500"/>
    </row>
    <row r="123" spans="1:10" ht="9" customHeight="1" x14ac:dyDescent="0.2">
      <c r="A123" s="569"/>
      <c r="B123" s="4"/>
      <c r="C123" s="4"/>
      <c r="D123" s="4"/>
      <c r="E123" s="4"/>
      <c r="F123" s="571"/>
      <c r="J123" s="500"/>
    </row>
    <row r="124" spans="1:10" ht="18" customHeight="1" x14ac:dyDescent="0.2">
      <c r="A124" s="569"/>
      <c r="B124" s="4"/>
      <c r="C124" s="573" t="s">
        <v>557</v>
      </c>
      <c r="D124" s="559" t="s">
        <v>449</v>
      </c>
      <c r="E124" s="574">
        <f>IF(AND(G68&lt;&gt;"Typ P",G68&lt;&gt;"Typ Z"),'BIEG - DANE'!E36,'BIEG - DANE'!E36/2)</f>
        <v>28.050585099826225</v>
      </c>
      <c r="F124" s="572" t="str">
        <f>'BIEG - DANE'!E49</f>
        <v>kN/m</v>
      </c>
      <c r="J124" s="500"/>
    </row>
    <row r="125" spans="1:10" ht="18" customHeight="1" x14ac:dyDescent="0.2">
      <c r="A125" s="569"/>
      <c r="B125" s="4"/>
      <c r="C125" s="573" t="s">
        <v>558</v>
      </c>
      <c r="D125" s="559" t="s">
        <v>449</v>
      </c>
      <c r="E125" s="575">
        <f>'BIEG - DANE'!D49</f>
        <v>45.479453757511848</v>
      </c>
      <c r="F125" s="572" t="str">
        <f>F124</f>
        <v>kN/m</v>
      </c>
      <c r="J125" s="500"/>
    </row>
    <row r="126" spans="1:10" ht="22.5" customHeight="1" x14ac:dyDescent="0.2">
      <c r="A126" s="569"/>
      <c r="B126" s="4"/>
      <c r="C126" s="573" t="s">
        <v>559</v>
      </c>
      <c r="D126" s="559" t="s">
        <v>449</v>
      </c>
      <c r="E126" s="574">
        <f>IF(G68="Typ F",SMALL('BIEG - DANE'!I49:'BIEG - DANE'!I51,1),'BIEG - DANE'!I49)</f>
        <v>61</v>
      </c>
      <c r="F126" s="572" t="str">
        <f>F125</f>
        <v>kN/m</v>
      </c>
      <c r="I126" s="576"/>
      <c r="J126" s="577"/>
    </row>
    <row r="127" spans="1:10" ht="22.5" customHeight="1" x14ac:dyDescent="0.2">
      <c r="A127" s="578"/>
      <c r="B127" s="495"/>
      <c r="C127" s="495" t="str">
        <f>IF(E126&lt;E125,Texte_Sprachen!B167,"")</f>
        <v/>
      </c>
      <c r="D127" s="495"/>
      <c r="E127" s="495"/>
      <c r="F127" s="495"/>
      <c r="G127" s="495"/>
      <c r="H127" s="495"/>
      <c r="I127" s="495"/>
      <c r="J127" s="579"/>
    </row>
    <row r="128" spans="1:10" ht="22.5" customHeight="1" x14ac:dyDescent="0.2">
      <c r="A128" s="580"/>
      <c r="B128" s="581"/>
      <c r="C128" s="581"/>
      <c r="D128" s="581"/>
      <c r="E128" s="581"/>
      <c r="F128" s="581"/>
      <c r="G128" s="581"/>
      <c r="H128" s="581"/>
      <c r="I128" s="581"/>
      <c r="J128" s="582"/>
    </row>
    <row r="129" spans="1:10" s="7" customFormat="1" ht="20.100000000000001" customHeight="1" x14ac:dyDescent="0.25">
      <c r="A129" s="564"/>
      <c r="B129" s="567"/>
      <c r="C129" s="565" t="str">
        <f>Texte_Sprachen!B129</f>
        <v>Podparcie na górze</v>
      </c>
      <c r="D129" s="566"/>
      <c r="E129" s="566"/>
      <c r="F129" s="566"/>
      <c r="G129" s="567"/>
      <c r="H129" s="567"/>
      <c r="I129" s="576"/>
      <c r="J129" s="577"/>
    </row>
    <row r="130" spans="1:10" ht="18" customHeight="1" x14ac:dyDescent="0.2">
      <c r="A130" s="569"/>
      <c r="B130" s="4"/>
      <c r="C130" s="570" t="str">
        <f>Texte_Sprachen!B130</f>
        <v>Tronsole typu:</v>
      </c>
      <c r="D130" s="583"/>
      <c r="E130" s="584" t="str">
        <f>'BIEG - DANE'!D54&amp;'BIEG - DANE'!E54</f>
        <v>1x F-V2</v>
      </c>
      <c r="I130" s="585"/>
      <c r="J130" s="586"/>
    </row>
    <row r="131" spans="1:10" ht="9" customHeight="1" x14ac:dyDescent="0.2">
      <c r="A131" s="569"/>
      <c r="B131" s="4"/>
      <c r="C131" s="587"/>
      <c r="D131" s="587"/>
      <c r="E131" s="587"/>
      <c r="F131" s="4"/>
      <c r="G131" s="4"/>
      <c r="H131" s="588"/>
      <c r="I131" s="585"/>
      <c r="J131" s="586"/>
    </row>
    <row r="132" spans="1:10" ht="18.75" customHeight="1" x14ac:dyDescent="0.2">
      <c r="A132" s="569"/>
      <c r="B132" s="4"/>
      <c r="C132" s="573" t="s">
        <v>557</v>
      </c>
      <c r="D132" s="559" t="s">
        <v>449</v>
      </c>
      <c r="E132" s="574">
        <f>IF(AND(G73&lt;&gt;"Typ P",G73&lt;&gt;"Typ Z"),'BIEG - DANE'!E37,'BIEG - DANE'!E37/2)</f>
        <v>28.001172423708692</v>
      </c>
      <c r="F132" s="572" t="str">
        <f>'BIEG - DANE'!E56</f>
        <v>kN/m</v>
      </c>
      <c r="I132" s="585"/>
      <c r="J132" s="586"/>
    </row>
    <row r="133" spans="1:10" ht="18.75" customHeight="1" x14ac:dyDescent="0.2">
      <c r="A133" s="569"/>
      <c r="B133" s="4"/>
      <c r="C133" s="573" t="s">
        <v>558</v>
      </c>
      <c r="D133" s="559" t="s">
        <v>449</v>
      </c>
      <c r="E133" s="575">
        <f>'BIEG - DANE'!D56</f>
        <v>45.428140593851346</v>
      </c>
      <c r="F133" s="572" t="str">
        <f>F132</f>
        <v>kN/m</v>
      </c>
      <c r="I133" s="585"/>
      <c r="J133" s="586"/>
    </row>
    <row r="134" spans="1:10" ht="20.100000000000001" customHeight="1" x14ac:dyDescent="0.2">
      <c r="A134" s="569"/>
      <c r="B134" s="4"/>
      <c r="C134" s="573" t="s">
        <v>559</v>
      </c>
      <c r="D134" s="559" t="s">
        <v>449</v>
      </c>
      <c r="E134" s="574">
        <f>IF(G73="Typ F",SMALL('BIEG - DANE'!I56:I58,1),'BIEG - DANE'!I56)</f>
        <v>61</v>
      </c>
      <c r="F134" s="572" t="str">
        <f>F133</f>
        <v>kN/m</v>
      </c>
      <c r="G134" s="589"/>
      <c r="H134" s="589"/>
      <c r="I134" s="585"/>
      <c r="J134" s="586"/>
    </row>
    <row r="135" spans="1:10" ht="20.100000000000001" customHeight="1" x14ac:dyDescent="0.2">
      <c r="A135" s="569"/>
      <c r="B135" s="4"/>
      <c r="C135" s="559" t="str">
        <f>IF(E134&lt;E133,Texte_Sprachen!B167,"")</f>
        <v/>
      </c>
      <c r="D135" s="559"/>
      <c r="E135" s="574"/>
      <c r="F135" s="572"/>
      <c r="G135" s="589"/>
      <c r="H135" s="589"/>
      <c r="I135" s="585"/>
      <c r="J135" s="586"/>
    </row>
    <row r="136" spans="1:10" ht="18" customHeight="1" thickBot="1" x14ac:dyDescent="0.25">
      <c r="A136" s="875"/>
      <c r="B136" s="876"/>
      <c r="C136" s="876"/>
      <c r="D136" s="876"/>
      <c r="E136" s="876"/>
      <c r="F136" s="876"/>
      <c r="G136" s="876"/>
      <c r="H136" s="876"/>
      <c r="I136" s="876"/>
      <c r="J136" s="877"/>
    </row>
    <row r="137" spans="1:10" ht="18" customHeight="1" thickTop="1" x14ac:dyDescent="0.2">
      <c r="A137" s="569"/>
      <c r="B137" s="4"/>
      <c r="C137" s="4"/>
      <c r="D137" s="4"/>
      <c r="E137" s="4"/>
      <c r="F137" s="4"/>
      <c r="H137" s="496"/>
      <c r="I137" s="4"/>
      <c r="J137" s="500"/>
    </row>
    <row r="138" spans="1:10" ht="18" customHeight="1" x14ac:dyDescent="0.2">
      <c r="A138" s="873"/>
      <c r="C138" s="874" t="str">
        <f>Texte_Sprachen!B85</f>
        <v>Dylatacja boczna biegu</v>
      </c>
      <c r="J138" s="500"/>
    </row>
    <row r="139" spans="1:10" ht="16.5" customHeight="1" x14ac:dyDescent="0.2">
      <c r="A139" s="569"/>
      <c r="B139" s="4"/>
      <c r="C139" s="809" t="s">
        <v>100</v>
      </c>
      <c r="D139" s="4"/>
      <c r="E139" s="584" t="s">
        <v>461</v>
      </c>
      <c r="G139" s="584"/>
      <c r="I139" s="584"/>
      <c r="J139" s="500"/>
    </row>
    <row r="140" spans="1:10" s="5" customFormat="1" x14ac:dyDescent="0.2">
      <c r="A140" s="569"/>
      <c r="E140" s="584"/>
      <c r="F140" s="3"/>
      <c r="G140" s="584"/>
      <c r="H140" s="3"/>
      <c r="I140" s="584"/>
      <c r="J140" s="500"/>
    </row>
    <row r="141" spans="1:10" s="5" customFormat="1" x14ac:dyDescent="0.2">
      <c r="A141" s="569"/>
      <c r="E141" s="584"/>
      <c r="F141" s="3"/>
      <c r="G141" s="584"/>
      <c r="H141" s="3"/>
      <c r="I141" s="584"/>
      <c r="J141" s="500"/>
    </row>
    <row r="142" spans="1:10" x14ac:dyDescent="0.2">
      <c r="A142" s="873"/>
      <c r="J142" s="500"/>
    </row>
    <row r="143" spans="1:10" x14ac:dyDescent="0.2">
      <c r="A143" s="873"/>
      <c r="C143" s="874" t="str">
        <f>Texte_Sprachen!B86</f>
        <v>Dylatacja boczna spocznika</v>
      </c>
      <c r="J143" s="500"/>
    </row>
    <row r="144" spans="1:10" x14ac:dyDescent="0.2">
      <c r="A144" s="873"/>
      <c r="C144" s="809" t="s">
        <v>100</v>
      </c>
      <c r="E144" s="584" t="str">
        <f>IF(OR(G55&gt;20,G57&gt;20),"L-420","L-250")</f>
        <v>L-420</v>
      </c>
      <c r="J144" s="500"/>
    </row>
    <row r="145" spans="1:10" x14ac:dyDescent="0.2">
      <c r="A145" s="873"/>
      <c r="J145" s="500"/>
    </row>
    <row r="146" spans="1:10" x14ac:dyDescent="0.2">
      <c r="A146" s="873"/>
      <c r="J146" s="500"/>
    </row>
    <row r="147" spans="1:10" x14ac:dyDescent="0.2">
      <c r="A147" s="590"/>
      <c r="B147" s="464"/>
      <c r="C147" s="464"/>
      <c r="D147" s="464"/>
      <c r="E147" s="464"/>
      <c r="F147" s="464"/>
      <c r="G147" s="465"/>
      <c r="H147" s="591"/>
      <c r="I147" s="464"/>
      <c r="J147" s="553"/>
    </row>
  </sheetData>
  <sheetProtection algorithmName="SHA-512" hashValue="mlX5MRnvs6RrANJEUo/nxYZtjToVfsGq1s53ujtCG/Ib/LujA+I16KwLRTyuTa8TB1m/Dml0zuI9XgYVQmb+LA==" saltValue="6P0Bm+ORFTh0CR8dUcM6vw==" spinCount="100000" sheet="1" selectLockedCells="1"/>
  <mergeCells count="16">
    <mergeCell ref="B114:B117"/>
    <mergeCell ref="C12:J13"/>
    <mergeCell ref="I6:J6"/>
    <mergeCell ref="B9:H9"/>
    <mergeCell ref="B6:C6"/>
    <mergeCell ref="E6:F6"/>
    <mergeCell ref="A7:J7"/>
    <mergeCell ref="C10:J11"/>
    <mergeCell ref="B14:H14"/>
    <mergeCell ref="B34:J36"/>
    <mergeCell ref="A111:J111"/>
    <mergeCell ref="C15:J16"/>
    <mergeCell ref="C17:J18"/>
    <mergeCell ref="B26:H26"/>
    <mergeCell ref="A38:J38"/>
    <mergeCell ref="A78:J78"/>
  </mergeCells>
  <pageMargins left="0.7" right="0.7" top="0.75" bottom="0.75" header="0.3" footer="0.3"/>
  <pageSetup paperSize="9" orientation="portrait" r:id="rId1"/>
  <headerFooter>
    <oddFooter>&amp;CSeite &amp;P von &amp;N</oddFooter>
  </headerFooter>
  <rowBreaks count="3" manualBreakCount="3">
    <brk id="37" max="9" man="1"/>
    <brk id="77" max="9" man="1"/>
    <brk id="110" max="9" man="1"/>
  </rowBreaks>
  <customProperties>
    <customPr name="_pios_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 id="{1FBD7E22-8E0C-42F6-8593-C88C2BC5CE54}">
            <xm:f>'BIEG - DANE'!$O$33&lt;&gt;""</xm:f>
            <x14:dxf>
              <font>
                <color theme="0"/>
              </font>
            </x14:dxf>
          </x14:cfRule>
          <xm:sqref>H114:J117 E122:F126 E130:F134 E139 E144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D335-ED13-40F1-9175-9485915855AD}">
  <sheetPr codeName="Tabelle6">
    <tabColor rgb="FFDE9F00"/>
  </sheetPr>
  <dimension ref="A1:U59"/>
  <sheetViews>
    <sheetView view="pageBreakPreview" zoomScale="85" zoomScaleNormal="85" zoomScaleSheetLayoutView="85" workbookViewId="0">
      <selection activeCell="E20" sqref="E20:F20"/>
    </sheetView>
  </sheetViews>
  <sheetFormatPr baseColWidth="10" defaultColWidth="11.42578125" defaultRowHeight="15" x14ac:dyDescent="0.25"/>
  <cols>
    <col min="1" max="1" width="2.28515625" style="20" customWidth="1"/>
    <col min="2" max="2" width="3.5703125" style="20" customWidth="1"/>
    <col min="3" max="3" width="18.85546875" style="20" customWidth="1"/>
    <col min="4" max="4" width="5" style="20" bestFit="1" customWidth="1"/>
    <col min="5" max="5" width="6.85546875" style="20" customWidth="1"/>
    <col min="6" max="6" width="4.5703125" style="20" customWidth="1"/>
    <col min="7" max="7" width="5.42578125" style="20" customWidth="1"/>
    <col min="8" max="8" width="5.7109375" style="20" customWidth="1"/>
    <col min="9" max="9" width="5.28515625" style="20" customWidth="1"/>
    <col min="10" max="10" width="11.28515625" style="20" customWidth="1"/>
    <col min="11" max="11" width="6.28515625" style="20" customWidth="1"/>
    <col min="12" max="12" width="5.7109375" style="20" bestFit="1" customWidth="1"/>
    <col min="13" max="13" width="6.28515625" style="20" customWidth="1"/>
    <col min="21" max="21" width="7.42578125" customWidth="1"/>
  </cols>
  <sheetData>
    <row r="1" spans="1:21" x14ac:dyDescent="0.25">
      <c r="A1" s="721"/>
      <c r="B1" s="722"/>
      <c r="C1" s="722"/>
      <c r="D1" s="722"/>
      <c r="E1" s="722"/>
      <c r="F1" s="722"/>
      <c r="G1" s="722"/>
      <c r="H1" s="722"/>
      <c r="I1" s="722"/>
      <c r="J1" s="722"/>
      <c r="K1" s="722"/>
      <c r="L1" s="722"/>
      <c r="M1" s="723"/>
      <c r="N1" s="12"/>
      <c r="O1" s="13"/>
      <c r="P1" s="13"/>
      <c r="Q1" s="13"/>
      <c r="R1" s="13"/>
      <c r="S1" s="13"/>
      <c r="T1" s="13"/>
      <c r="U1" s="14"/>
    </row>
    <row r="2" spans="1:21" x14ac:dyDescent="0.25">
      <c r="A2" s="724"/>
      <c r="B2" s="725"/>
      <c r="C2" s="725"/>
      <c r="D2" s="725"/>
      <c r="E2" s="725"/>
      <c r="F2" s="725"/>
      <c r="G2" s="725"/>
      <c r="H2" s="725"/>
      <c r="I2" s="725"/>
      <c r="J2" s="725"/>
      <c r="K2" s="725"/>
      <c r="L2" s="725"/>
      <c r="M2" s="726"/>
      <c r="N2" s="15"/>
      <c r="O2" s="1"/>
      <c r="P2" s="1"/>
      <c r="Q2" s="1"/>
      <c r="R2" s="1"/>
      <c r="S2" s="1"/>
      <c r="T2" s="1"/>
      <c r="U2" s="16"/>
    </row>
    <row r="3" spans="1:21" x14ac:dyDescent="0.25">
      <c r="A3" s="724"/>
      <c r="B3" s="725"/>
      <c r="C3" s="725"/>
      <c r="D3" s="725"/>
      <c r="E3" s="725"/>
      <c r="F3" s="725"/>
      <c r="G3" s="725"/>
      <c r="H3" s="725"/>
      <c r="I3" s="725"/>
      <c r="J3" s="725"/>
      <c r="K3" s="725"/>
      <c r="L3" s="725"/>
      <c r="M3" s="726"/>
      <c r="N3" s="15"/>
      <c r="O3" s="1"/>
      <c r="P3" s="1"/>
      <c r="Q3" s="1"/>
      <c r="R3" s="1"/>
      <c r="S3" s="1"/>
      <c r="T3" s="1"/>
      <c r="U3" s="16"/>
    </row>
    <row r="4" spans="1:21" x14ac:dyDescent="0.25">
      <c r="A4" s="724"/>
      <c r="B4" s="1025" t="str">
        <f>Texte_Sprachen!B2</f>
        <v>Dane projektu</v>
      </c>
      <c r="C4" s="1025"/>
      <c r="D4" s="630"/>
      <c r="E4" s="1139"/>
      <c r="F4" s="1139"/>
      <c r="G4" s="725"/>
      <c r="H4" s="725"/>
      <c r="I4" s="725"/>
      <c r="J4" s="725"/>
      <c r="K4" s="630"/>
      <c r="L4" s="725"/>
      <c r="M4" s="726"/>
      <c r="N4" s="15"/>
      <c r="O4" s="1"/>
      <c r="P4" s="1"/>
      <c r="Q4" s="1"/>
      <c r="R4" s="1"/>
      <c r="S4" s="1"/>
      <c r="T4" s="1"/>
      <c r="U4" s="16"/>
    </row>
    <row r="5" spans="1:21" x14ac:dyDescent="0.25">
      <c r="A5" s="724"/>
      <c r="B5" s="1023" t="str">
        <f>Texte_Sprachen!B6</f>
        <v>Pozycja</v>
      </c>
      <c r="C5" s="1023"/>
      <c r="D5" s="1027"/>
      <c r="E5" s="1027"/>
      <c r="F5" s="1027"/>
      <c r="G5" s="1027"/>
      <c r="H5" s="1027"/>
      <c r="I5" s="633"/>
      <c r="J5" s="634"/>
      <c r="K5" s="634"/>
      <c r="L5" s="634"/>
      <c r="M5" s="635"/>
      <c r="N5" s="15"/>
      <c r="O5" s="1"/>
      <c r="P5" s="1"/>
      <c r="Q5" s="1"/>
      <c r="R5" s="1"/>
      <c r="S5" s="1"/>
      <c r="T5" s="1"/>
      <c r="U5" s="16"/>
    </row>
    <row r="6" spans="1:21" x14ac:dyDescent="0.25">
      <c r="A6" s="724"/>
      <c r="B6" s="1023" t="str">
        <f>Texte_Sprachen!B7</f>
        <v>Element budowlany</v>
      </c>
      <c r="C6" s="1023"/>
      <c r="D6" s="1027"/>
      <c r="E6" s="1027"/>
      <c r="F6" s="1027"/>
      <c r="G6" s="1027"/>
      <c r="H6" s="1027"/>
      <c r="I6" s="633"/>
      <c r="J6" s="634"/>
      <c r="K6" s="634"/>
      <c r="L6" s="634"/>
      <c r="M6" s="727"/>
      <c r="N6" s="15"/>
      <c r="O6" s="1"/>
      <c r="P6" s="1"/>
      <c r="Q6" s="1"/>
      <c r="R6" s="1"/>
      <c r="S6" s="1"/>
      <c r="T6" s="1"/>
      <c r="U6" s="16"/>
    </row>
    <row r="7" spans="1:21" x14ac:dyDescent="0.25">
      <c r="A7" s="724"/>
      <c r="B7" s="1023" t="str">
        <f>Texte_Sprachen!B8</f>
        <v xml:space="preserve">Ilość </v>
      </c>
      <c r="C7" s="1023"/>
      <c r="D7" s="1022">
        <v>1</v>
      </c>
      <c r="E7" s="1022"/>
      <c r="F7" s="634"/>
      <c r="G7" s="634"/>
      <c r="H7" s="634"/>
      <c r="I7" s="634"/>
      <c r="J7" s="634"/>
      <c r="K7" s="634"/>
      <c r="L7" s="634"/>
      <c r="M7" s="727"/>
      <c r="N7" s="15"/>
      <c r="O7" s="1"/>
      <c r="P7" s="1"/>
      <c r="Q7" s="1"/>
      <c r="R7" s="1"/>
      <c r="S7" s="1"/>
      <c r="T7" s="1"/>
      <c r="U7" s="16"/>
    </row>
    <row r="8" spans="1:21" x14ac:dyDescent="0.25">
      <c r="A8" s="724"/>
      <c r="B8" s="1023" t="str">
        <f>Texte_Sprachen!B9</f>
        <v>Kraj</v>
      </c>
      <c r="C8" s="1023"/>
      <c r="D8" s="1140" t="str">
        <f>PRZEGLAD!D6</f>
        <v>PL</v>
      </c>
      <c r="E8" s="1140"/>
      <c r="F8" s="634"/>
      <c r="G8" s="634"/>
      <c r="H8" s="634"/>
      <c r="I8" s="634"/>
      <c r="J8" s="637" t="str">
        <f>Texte_Sprachen!B11</f>
        <v>Data</v>
      </c>
      <c r="K8" s="1145">
        <f ca="1">NOW()</f>
        <v>45462.610219907408</v>
      </c>
      <c r="L8" s="1145"/>
      <c r="M8" s="727"/>
      <c r="N8" s="15"/>
      <c r="O8" s="1"/>
      <c r="P8" s="1"/>
      <c r="Q8" s="1"/>
      <c r="R8" s="1"/>
      <c r="S8" s="1"/>
      <c r="T8" s="1"/>
      <c r="U8" s="16"/>
    </row>
    <row r="9" spans="1:21" ht="9.9499999999999993" customHeight="1" x14ac:dyDescent="0.25">
      <c r="A9" s="724"/>
      <c r="B9" s="725"/>
      <c r="C9" s="725"/>
      <c r="D9" s="725"/>
      <c r="E9" s="725"/>
      <c r="F9" s="725"/>
      <c r="G9" s="725"/>
      <c r="H9" s="725"/>
      <c r="I9" s="725"/>
      <c r="J9" s="1142" t="str">
        <f>PRZEGLAD!K7</f>
        <v>Wersja 3.1        30.11.2023</v>
      </c>
      <c r="K9" s="1143"/>
      <c r="L9" s="1143"/>
      <c r="M9" s="1144"/>
      <c r="N9" s="15"/>
      <c r="O9" s="1"/>
      <c r="P9" s="1"/>
      <c r="Q9" s="1"/>
      <c r="R9" s="1"/>
      <c r="S9" s="1"/>
      <c r="T9" s="1"/>
      <c r="U9" s="16"/>
    </row>
    <row r="10" spans="1:21" ht="18.75" x14ac:dyDescent="0.25">
      <c r="A10" s="728"/>
      <c r="B10" s="639" t="s">
        <v>179</v>
      </c>
      <c r="C10" s="729"/>
      <c r="D10" s="729"/>
      <c r="E10" s="641"/>
      <c r="F10" s="730"/>
      <c r="G10" s="640"/>
      <c r="H10" s="640"/>
      <c r="I10" s="640"/>
      <c r="J10" s="640"/>
      <c r="K10" s="643"/>
      <c r="L10" s="643"/>
      <c r="M10" s="644"/>
      <c r="N10" s="15"/>
      <c r="O10" s="1"/>
      <c r="P10" s="1"/>
      <c r="Q10" s="1"/>
      <c r="R10" s="1"/>
      <c r="S10" s="1"/>
      <c r="T10" s="1"/>
      <c r="U10" s="16"/>
    </row>
    <row r="11" spans="1:21" ht="9.9499999999999993" customHeight="1" x14ac:dyDescent="0.25">
      <c r="A11" s="724"/>
      <c r="B11" s="731"/>
      <c r="C11" s="731"/>
      <c r="D11" s="731"/>
      <c r="E11" s="646"/>
      <c r="F11" s="732"/>
      <c r="G11" s="647"/>
      <c r="H11" s="647"/>
      <c r="I11" s="647"/>
      <c r="J11" s="647"/>
      <c r="K11" s="647"/>
      <c r="L11" s="647"/>
      <c r="M11" s="669"/>
      <c r="N11" s="15"/>
      <c r="O11" s="1"/>
      <c r="P11" s="1"/>
      <c r="Q11" s="1"/>
      <c r="R11" s="1"/>
      <c r="S11" s="1"/>
      <c r="T11" s="1"/>
      <c r="U11" s="16"/>
    </row>
    <row r="12" spans="1:21" x14ac:dyDescent="0.25">
      <c r="A12" s="733"/>
      <c r="B12" s="734" t="str">
        <f>"1. "&amp;Texte_Sprachen!B14</f>
        <v>1. Dane ogólne</v>
      </c>
      <c r="C12" s="734"/>
      <c r="D12" s="651"/>
      <c r="E12" s="652"/>
      <c r="F12" s="653"/>
      <c r="G12" s="652"/>
      <c r="H12" s="652"/>
      <c r="I12" s="652"/>
      <c r="J12" s="652"/>
      <c r="K12" s="654"/>
      <c r="L12" s="654"/>
      <c r="M12" s="635"/>
      <c r="N12" s="15"/>
      <c r="O12" s="1"/>
      <c r="P12" s="1"/>
      <c r="Q12" s="1"/>
      <c r="R12" s="1"/>
      <c r="S12" s="1"/>
      <c r="T12" s="1"/>
      <c r="U12" s="16"/>
    </row>
    <row r="13" spans="1:21" x14ac:dyDescent="0.25">
      <c r="A13" s="733"/>
      <c r="B13" s="735" t="s">
        <v>180</v>
      </c>
      <c r="C13" s="736" t="str">
        <f>Texte_Sprachen!B15</f>
        <v>System</v>
      </c>
      <c r="D13" s="651"/>
      <c r="E13" s="652"/>
      <c r="F13" s="653"/>
      <c r="G13" s="735" t="s">
        <v>181</v>
      </c>
      <c r="H13" s="736" t="str">
        <f>Texte_Sprachen!B36</f>
        <v>Obciążenia</v>
      </c>
      <c r="I13" s="736"/>
      <c r="J13" s="737"/>
      <c r="K13" s="652"/>
      <c r="L13" s="652"/>
      <c r="M13" s="635"/>
      <c r="N13" s="15"/>
      <c r="O13" s="1"/>
      <c r="P13" s="1"/>
      <c r="Q13" s="1"/>
      <c r="R13" s="1"/>
      <c r="S13" s="1"/>
      <c r="T13" s="1"/>
      <c r="U13" s="16"/>
    </row>
    <row r="14" spans="1:21" x14ac:dyDescent="0.25">
      <c r="A14" s="724"/>
      <c r="B14" s="657"/>
      <c r="C14" s="738" t="str">
        <f>Texte_Sprachen!B16</f>
        <v>Ochrona ppoż.</v>
      </c>
      <c r="D14" s="662"/>
      <c r="E14" s="917" t="s">
        <v>1009</v>
      </c>
      <c r="F14" s="734"/>
      <c r="G14" s="739"/>
      <c r="H14" s="740" t="str">
        <f>Texte_Sprachen!B37</f>
        <v>Obc. stałe</v>
      </c>
      <c r="I14" s="740"/>
      <c r="J14" s="740"/>
      <c r="K14" s="741">
        <v>0</v>
      </c>
      <c r="L14" s="739" t="s">
        <v>1006</v>
      </c>
      <c r="M14" s="726"/>
      <c r="N14" s="15"/>
      <c r="O14" s="1"/>
      <c r="P14" s="1"/>
      <c r="Q14" s="1"/>
      <c r="R14" s="1"/>
      <c r="S14" s="1"/>
      <c r="T14" s="1"/>
      <c r="U14" s="16"/>
    </row>
    <row r="15" spans="1:21" x14ac:dyDescent="0.25">
      <c r="A15" s="724"/>
      <c r="B15" s="657"/>
      <c r="C15" s="742" t="str">
        <f>Texte_Sprachen!B18</f>
        <v>Klasa betonu</v>
      </c>
      <c r="D15" s="743"/>
      <c r="E15" s="917" t="s">
        <v>386</v>
      </c>
      <c r="F15" s="744"/>
      <c r="G15" s="739"/>
      <c r="H15" s="740" t="str">
        <f>Texte_Sprachen!B38</f>
        <v>Obc. zmienne</v>
      </c>
      <c r="I15" s="740"/>
      <c r="J15" s="740"/>
      <c r="K15" s="741">
        <v>5</v>
      </c>
      <c r="L15" s="739" t="s">
        <v>1008</v>
      </c>
      <c r="M15" s="726"/>
      <c r="N15" s="15"/>
      <c r="O15" s="1"/>
      <c r="P15" s="1"/>
      <c r="Q15" s="1"/>
      <c r="R15" s="1"/>
      <c r="S15" s="1"/>
      <c r="T15" s="1"/>
      <c r="U15" s="16"/>
    </row>
    <row r="16" spans="1:21" x14ac:dyDescent="0.25">
      <c r="A16" s="724"/>
      <c r="B16" s="743"/>
      <c r="C16" s="742"/>
      <c r="D16" s="743"/>
      <c r="E16" s="743"/>
      <c r="F16" s="743"/>
      <c r="G16" s="739"/>
      <c r="H16" s="740" t="str">
        <f>Texte_Sprachen!B39</f>
        <v xml:space="preserve">Beton </v>
      </c>
      <c r="I16" s="740"/>
      <c r="J16" s="745"/>
      <c r="K16" s="746">
        <f>Berechnung_TR_Lauf!F2</f>
        <v>25</v>
      </c>
      <c r="L16" s="739" t="s">
        <v>1007</v>
      </c>
      <c r="M16" s="726"/>
      <c r="N16" s="15"/>
      <c r="O16" s="1"/>
      <c r="P16" s="1"/>
      <c r="Q16" s="1"/>
      <c r="R16" s="1"/>
      <c r="S16" s="1"/>
      <c r="T16" s="1"/>
      <c r="U16" s="16"/>
    </row>
    <row r="17" spans="1:21" x14ac:dyDescent="0.25">
      <c r="A17" s="724"/>
      <c r="B17" s="735" t="s">
        <v>186</v>
      </c>
      <c r="C17" s="736" t="str">
        <f>Texte_Sprachen!B23</f>
        <v>Geometria</v>
      </c>
      <c r="D17" s="747"/>
      <c r="E17" s="652"/>
      <c r="F17" s="744"/>
      <c r="G17" s="740"/>
      <c r="H17" s="748"/>
      <c r="I17" s="748"/>
      <c r="J17" s="748"/>
      <c r="K17" s="749"/>
      <c r="L17" s="739"/>
      <c r="M17" s="726"/>
      <c r="N17" s="15"/>
      <c r="O17" s="1"/>
      <c r="P17" s="1"/>
      <c r="Q17" s="1"/>
      <c r="R17" s="1"/>
      <c r="S17" s="1"/>
      <c r="T17" s="1"/>
      <c r="U17" s="16"/>
    </row>
    <row r="18" spans="1:21" ht="15" customHeight="1" x14ac:dyDescent="0.25">
      <c r="A18" s="724"/>
      <c r="B18" s="734"/>
      <c r="C18" s="738" t="str">
        <f>Texte_Sprachen!B54</f>
        <v>Długość spocznika</v>
      </c>
      <c r="D18" s="750" t="s">
        <v>187</v>
      </c>
      <c r="E18" s="751">
        <v>250</v>
      </c>
      <c r="F18" s="752" t="s">
        <v>188</v>
      </c>
      <c r="G18" s="743"/>
      <c r="H18" s="1148" t="str">
        <f>Texte_Sprachen!B67</f>
        <v>Przejmij obciążenia z obliczeń biegu</v>
      </c>
      <c r="I18" s="1148"/>
      <c r="J18" s="1148"/>
      <c r="K18" s="741" t="s">
        <v>992</v>
      </c>
      <c r="L18" s="753"/>
      <c r="M18" s="754" t="str">
        <f>IF(L18&lt;&gt;"","kN","")</f>
        <v/>
      </c>
      <c r="N18" s="15"/>
      <c r="O18" s="1"/>
      <c r="P18" s="1"/>
      <c r="Q18" s="1"/>
      <c r="R18" s="1"/>
      <c r="S18" s="1"/>
      <c r="T18" s="1"/>
      <c r="U18" s="16"/>
    </row>
    <row r="19" spans="1:21" ht="15" customHeight="1" x14ac:dyDescent="0.25">
      <c r="A19" s="724"/>
      <c r="B19" s="744"/>
      <c r="C19" s="738" t="str">
        <f>Texte_Sprachen!B55</f>
        <v>Szerokość spocznika</v>
      </c>
      <c r="D19" s="750" t="s">
        <v>199</v>
      </c>
      <c r="E19" s="751">
        <v>100</v>
      </c>
      <c r="F19" s="752" t="s">
        <v>188</v>
      </c>
      <c r="G19" s="743"/>
      <c r="H19" s="1148"/>
      <c r="I19" s="1148"/>
      <c r="J19" s="1148"/>
      <c r="K19" s="743"/>
      <c r="L19" s="743"/>
      <c r="M19" s="755"/>
      <c r="N19" s="15"/>
      <c r="O19" s="1"/>
      <c r="P19" s="1"/>
      <c r="Q19" s="1"/>
      <c r="R19" s="1"/>
      <c r="S19" s="1"/>
      <c r="T19" s="1"/>
      <c r="U19" s="16"/>
    </row>
    <row r="20" spans="1:21" x14ac:dyDescent="0.25">
      <c r="A20" s="724"/>
      <c r="B20" s="744"/>
      <c r="C20" s="738" t="str">
        <f>Texte_Sprachen!B56</f>
        <v>Wariant położenia Tronsole</v>
      </c>
      <c r="D20" s="743"/>
      <c r="E20" s="1141" t="s">
        <v>617</v>
      </c>
      <c r="F20" s="1141"/>
      <c r="G20" s="743"/>
      <c r="H20" s="1148" t="str">
        <f>Texte_Sprachen!B68</f>
        <v>Obc. Maks. biegu  [Ved]</v>
      </c>
      <c r="I20" s="1148"/>
      <c r="J20" s="1148"/>
      <c r="K20" s="751">
        <v>0</v>
      </c>
      <c r="L20" s="740" t="s">
        <v>185</v>
      </c>
      <c r="M20" s="756">
        <f>IF(K18=Texte_Sprachen!B164,'BIEG - DANE'!E42,K20)</f>
        <v>59.056582772006749</v>
      </c>
      <c r="N20" s="15"/>
      <c r="O20" s="1"/>
      <c r="P20" s="1"/>
      <c r="Q20" s="1"/>
      <c r="R20" s="1"/>
      <c r="S20" s="1"/>
      <c r="T20" s="1"/>
      <c r="U20" s="16"/>
    </row>
    <row r="21" spans="1:21" ht="15" customHeight="1" x14ac:dyDescent="0.25">
      <c r="A21" s="724"/>
      <c r="B21" s="744"/>
      <c r="C21" s="738" t="str">
        <f>Texte_Sprachen!B63</f>
        <v>Krawędź z przodu</v>
      </c>
      <c r="D21" s="750" t="s">
        <v>463</v>
      </c>
      <c r="E21" s="751">
        <v>33</v>
      </c>
      <c r="F21" s="752" t="s">
        <v>188</v>
      </c>
      <c r="G21" s="743"/>
      <c r="H21" s="1148" t="str">
        <f>Texte_Sprachen!B69</f>
        <v>Obc. stałe biegu  [Gk]</v>
      </c>
      <c r="I21" s="1148"/>
      <c r="J21" s="1148"/>
      <c r="K21" s="751">
        <v>0</v>
      </c>
      <c r="L21" s="740" t="s">
        <v>185</v>
      </c>
      <c r="M21" s="756">
        <f>IF(K18=Texte_Sprachen!B164,'BIEG - DANE'!E37,K21)</f>
        <v>28.001172423708692</v>
      </c>
      <c r="N21" s="15"/>
      <c r="O21" s="1"/>
      <c r="P21" s="1"/>
      <c r="Q21" s="1"/>
      <c r="R21" s="1"/>
      <c r="S21" s="1"/>
      <c r="T21" s="1"/>
      <c r="U21" s="16"/>
    </row>
    <row r="22" spans="1:21" ht="15" customHeight="1" x14ac:dyDescent="0.25">
      <c r="A22" s="724"/>
      <c r="B22" s="744"/>
      <c r="C22" s="738" t="str">
        <f>Texte_Sprachen!B64</f>
        <v>Krawędź z tyłu</v>
      </c>
      <c r="D22" s="750" t="s">
        <v>464</v>
      </c>
      <c r="E22" s="751">
        <v>25</v>
      </c>
      <c r="F22" s="739" t="s">
        <v>188</v>
      </c>
      <c r="G22" s="743"/>
      <c r="H22" s="743"/>
      <c r="I22" s="743"/>
      <c r="J22" s="743"/>
      <c r="K22" s="743"/>
      <c r="L22" s="743"/>
      <c r="M22" s="755"/>
      <c r="N22" s="15"/>
      <c r="O22" s="1"/>
      <c r="P22" s="1"/>
      <c r="Q22" s="1"/>
      <c r="R22" s="1"/>
      <c r="S22" s="1"/>
      <c r="T22" s="1"/>
      <c r="U22" s="16"/>
    </row>
    <row r="23" spans="1:21" ht="15" customHeight="1" x14ac:dyDescent="0.25">
      <c r="A23" s="724"/>
      <c r="B23" s="744"/>
      <c r="C23" s="738" t="str">
        <f>Texte_Sprachen!B65</f>
        <v>Grubość spocznika</v>
      </c>
      <c r="D23" s="750" t="s">
        <v>465</v>
      </c>
      <c r="E23" s="751">
        <v>25</v>
      </c>
      <c r="F23" s="740" t="s">
        <v>188</v>
      </c>
      <c r="G23" s="735" t="s">
        <v>191</v>
      </c>
      <c r="H23" s="736" t="str">
        <f>Texte_Sprachen!B43</f>
        <v>Produkt</v>
      </c>
      <c r="I23" s="736"/>
      <c r="J23" s="737"/>
      <c r="K23" s="734"/>
      <c r="L23" s="757"/>
      <c r="M23" s="758"/>
      <c r="N23" s="15"/>
      <c r="O23" s="1"/>
      <c r="P23" s="1"/>
      <c r="Q23" s="1"/>
      <c r="R23" s="1"/>
      <c r="S23" s="1"/>
      <c r="T23" s="1"/>
      <c r="U23" s="16"/>
    </row>
    <row r="24" spans="1:21" x14ac:dyDescent="0.25">
      <c r="A24" s="724"/>
      <c r="B24" s="744"/>
      <c r="C24" s="738" t="str">
        <f>Texte_Sprachen!B66</f>
        <v>Szerokość dylatacji</v>
      </c>
      <c r="D24" s="750" t="s">
        <v>466</v>
      </c>
      <c r="E24" s="751">
        <v>5</v>
      </c>
      <c r="F24" s="740" t="s">
        <v>188</v>
      </c>
      <c r="G24" s="740"/>
      <c r="H24" s="740" t="str">
        <f>Texte_Sprachen!B70</f>
        <v>Podparcie spocznika</v>
      </c>
      <c r="I24" s="740"/>
      <c r="J24" s="740"/>
      <c r="K24" s="1149" t="s">
        <v>467</v>
      </c>
      <c r="L24" s="1149"/>
      <c r="M24" s="758"/>
      <c r="N24" s="15"/>
      <c r="O24" s="1"/>
      <c r="P24" s="1"/>
      <c r="Q24" s="1"/>
      <c r="R24" s="1"/>
      <c r="S24" s="1"/>
      <c r="T24" s="1"/>
      <c r="U24" s="16"/>
    </row>
    <row r="25" spans="1:21" x14ac:dyDescent="0.25">
      <c r="A25" s="724"/>
      <c r="B25" s="744"/>
      <c r="C25" s="738" t="str">
        <f>Texte_Sprachen!B74</f>
        <v>Wysunięcie spocznika</v>
      </c>
      <c r="D25" s="750" t="s">
        <v>468</v>
      </c>
      <c r="E25" s="751">
        <v>0</v>
      </c>
      <c r="F25" s="740" t="s">
        <v>188</v>
      </c>
      <c r="G25" s="740"/>
      <c r="H25" s="1150" t="str">
        <f>Texte_Sprachen!B71</f>
        <v>Połączenie bieg - spocznik (patrz "Bieg schodowy")</v>
      </c>
      <c r="I25" s="1150"/>
      <c r="J25" s="1150"/>
      <c r="K25" s="1149" t="s">
        <v>11</v>
      </c>
      <c r="L25" s="1149"/>
      <c r="M25" s="758"/>
      <c r="N25" s="15"/>
      <c r="O25" s="1"/>
      <c r="P25" s="1"/>
      <c r="Q25" s="1"/>
      <c r="R25" s="1"/>
      <c r="S25" s="1"/>
      <c r="T25" s="1"/>
      <c r="U25" s="16"/>
    </row>
    <row r="26" spans="1:21" x14ac:dyDescent="0.25">
      <c r="A26" s="724"/>
      <c r="B26" s="744"/>
      <c r="C26" s="743"/>
      <c r="D26" s="743"/>
      <c r="E26" s="743"/>
      <c r="F26" s="743"/>
      <c r="G26" s="740"/>
      <c r="H26" s="1150"/>
      <c r="I26" s="1150"/>
      <c r="J26" s="1150"/>
      <c r="K26" s="1149"/>
      <c r="L26" s="1149"/>
      <c r="M26" s="758"/>
      <c r="N26" s="15"/>
      <c r="O26" s="1"/>
      <c r="P26" s="1"/>
      <c r="Q26" s="1"/>
      <c r="R26" s="1"/>
      <c r="S26" s="1"/>
      <c r="T26" s="1"/>
      <c r="U26" s="16"/>
    </row>
    <row r="27" spans="1:21" ht="18" x14ac:dyDescent="0.35">
      <c r="A27" s="724"/>
      <c r="B27" s="744"/>
      <c r="C27" s="743"/>
      <c r="D27" s="743"/>
      <c r="E27" s="743"/>
      <c r="F27" s="743"/>
      <c r="G27" s="740"/>
      <c r="H27" s="748" t="str">
        <f>Texte_Sprachen!B72</f>
        <v>Dł. konsoli</v>
      </c>
      <c r="I27" s="748"/>
      <c r="J27" s="759" t="s">
        <v>469</v>
      </c>
      <c r="K27" s="826">
        <v>13</v>
      </c>
      <c r="L27" s="739" t="s">
        <v>188</v>
      </c>
      <c r="M27" s="758"/>
      <c r="N27" s="15"/>
      <c r="O27" s="1"/>
      <c r="P27" s="1"/>
      <c r="Q27" s="1"/>
      <c r="R27" s="1"/>
      <c r="S27" s="1"/>
      <c r="T27" s="1"/>
      <c r="U27" s="16"/>
    </row>
    <row r="28" spans="1:21" ht="15" customHeight="1" x14ac:dyDescent="0.35">
      <c r="A28" s="724"/>
      <c r="B28" s="743"/>
      <c r="C28" s="743"/>
      <c r="D28" s="743"/>
      <c r="E28" s="743"/>
      <c r="F28" s="743"/>
      <c r="G28" s="740"/>
      <c r="H28" s="748" t="str">
        <f>Texte_Sprachen!B73</f>
        <v>Szer. biegu</v>
      </c>
      <c r="I28" s="748"/>
      <c r="J28" s="759" t="s">
        <v>470</v>
      </c>
      <c r="K28" s="751">
        <v>101.5</v>
      </c>
      <c r="L28" s="739" t="s">
        <v>188</v>
      </c>
      <c r="M28" s="758"/>
      <c r="N28" s="15"/>
      <c r="O28" s="1"/>
      <c r="P28" s="1"/>
      <c r="Q28" s="1"/>
      <c r="R28" s="1"/>
      <c r="S28" s="1"/>
      <c r="T28" s="1"/>
      <c r="U28" s="16"/>
    </row>
    <row r="29" spans="1:21" ht="18" x14ac:dyDescent="0.35">
      <c r="A29" s="724"/>
      <c r="B29" s="744"/>
      <c r="C29" s="743"/>
      <c r="D29" s="743"/>
      <c r="E29" s="743"/>
      <c r="F29" s="743"/>
      <c r="G29" s="740"/>
      <c r="H29" s="748" t="str">
        <f>Texte_Sprachen!B75</f>
        <v>Wys. konsoli</v>
      </c>
      <c r="I29" s="748"/>
      <c r="J29" s="759" t="s">
        <v>471</v>
      </c>
      <c r="K29" s="826">
        <v>12</v>
      </c>
      <c r="L29" s="739" t="s">
        <v>188</v>
      </c>
      <c r="M29" s="758"/>
      <c r="N29" s="15"/>
      <c r="O29" s="1"/>
      <c r="P29" s="1"/>
      <c r="Q29" s="1"/>
      <c r="R29" s="1"/>
      <c r="S29" s="1"/>
      <c r="T29" s="1"/>
      <c r="U29" s="16"/>
    </row>
    <row r="30" spans="1:21" x14ac:dyDescent="0.25">
      <c r="A30" s="724"/>
      <c r="B30" s="744"/>
      <c r="C30" s="743"/>
      <c r="D30" s="743"/>
      <c r="E30" s="743"/>
      <c r="F30" s="743"/>
      <c r="G30" s="740"/>
      <c r="H30" s="740"/>
      <c r="I30" s="740"/>
      <c r="J30" s="740"/>
      <c r="K30" s="740"/>
      <c r="L30" s="740"/>
      <c r="M30" s="758"/>
      <c r="N30" s="15"/>
      <c r="O30" s="1"/>
      <c r="P30" s="1"/>
      <c r="Q30" s="1"/>
      <c r="R30" s="1"/>
      <c r="S30" s="1"/>
      <c r="T30" s="1"/>
      <c r="U30" s="16"/>
    </row>
    <row r="31" spans="1:21" ht="9.9499999999999993" customHeight="1" x14ac:dyDescent="0.25">
      <c r="A31" s="724"/>
      <c r="B31" s="744"/>
      <c r="C31" s="725"/>
      <c r="D31" s="725"/>
      <c r="E31" s="725"/>
      <c r="F31" s="725"/>
      <c r="G31" s="740"/>
      <c r="H31" s="747"/>
      <c r="I31" s="747"/>
      <c r="J31" s="747"/>
      <c r="K31" s="753"/>
      <c r="L31" s="757"/>
      <c r="M31" s="758"/>
      <c r="N31" s="17"/>
      <c r="O31" s="2"/>
      <c r="P31" s="2"/>
      <c r="Q31" s="2"/>
      <c r="R31" s="2"/>
      <c r="S31" s="2"/>
      <c r="T31" s="2"/>
      <c r="U31" s="18"/>
    </row>
    <row r="32" spans="1:21" ht="9.9499999999999993" customHeight="1" x14ac:dyDescent="0.25">
      <c r="A32" s="721"/>
      <c r="B32" s="760"/>
      <c r="C32" s="761"/>
      <c r="D32" s="761"/>
      <c r="E32" s="762"/>
      <c r="F32" s="763"/>
      <c r="G32" s="763"/>
      <c r="H32" s="764"/>
      <c r="I32" s="764"/>
      <c r="J32" s="764"/>
      <c r="K32" s="765"/>
      <c r="L32" s="766"/>
      <c r="M32" s="767"/>
      <c r="N32" s="15"/>
      <c r="O32" s="1"/>
      <c r="P32" s="1"/>
      <c r="Q32" s="1"/>
      <c r="R32" s="1"/>
      <c r="S32" s="1"/>
      <c r="T32" s="1"/>
      <c r="U32" s="16"/>
    </row>
    <row r="33" spans="1:21" x14ac:dyDescent="0.25">
      <c r="A33" s="724"/>
      <c r="B33" s="735" t="s">
        <v>207</v>
      </c>
      <c r="C33" s="736" t="str">
        <f>Texte_Sprachen!B89</f>
        <v>Reakcje podporowe</v>
      </c>
      <c r="D33" s="744"/>
      <c r="E33" s="738"/>
      <c r="F33" s="757"/>
      <c r="G33" s="740"/>
      <c r="H33" s="747"/>
      <c r="I33" s="747"/>
      <c r="J33" s="747"/>
      <c r="K33" s="753"/>
      <c r="L33" s="757"/>
      <c r="M33" s="758"/>
      <c r="N33" s="869" t="str">
        <f>IF(O34&lt;&gt;"","!!","")</f>
        <v/>
      </c>
      <c r="O33" s="870" t="str">
        <f>IF(O34&lt;&gt;"",Texte_Sprachen!B137,"")</f>
        <v/>
      </c>
      <c r="P33" s="871"/>
      <c r="Q33" s="871"/>
      <c r="R33" s="1"/>
      <c r="S33" s="1"/>
      <c r="T33" s="1"/>
      <c r="U33" s="16"/>
    </row>
    <row r="34" spans="1:21" x14ac:dyDescent="0.25">
      <c r="A34" s="724"/>
      <c r="B34" s="735" t="s">
        <v>208</v>
      </c>
      <c r="C34" s="736" t="str">
        <f>Texte_Sprachen!B105</f>
        <v>Obciążenia stałe</v>
      </c>
      <c r="D34" s="744"/>
      <c r="E34" s="738"/>
      <c r="F34" s="757"/>
      <c r="G34" s="771"/>
      <c r="H34" s="815"/>
      <c r="I34" s="815"/>
      <c r="J34" s="815"/>
      <c r="K34" s="816"/>
      <c r="L34" s="817"/>
      <c r="M34" s="818"/>
      <c r="N34" s="868">
        <v>1</v>
      </c>
      <c r="O34" s="863" t="str">
        <f>_xlfn.XLOOKUP(N34,Fehlersuche!D16:D26,Fehlersuche!C16:C26,"",0,1)</f>
        <v/>
      </c>
      <c r="P34" s="863"/>
      <c r="Q34" s="863"/>
      <c r="R34" s="1"/>
      <c r="S34" s="1"/>
      <c r="T34" s="1"/>
      <c r="U34" s="16"/>
    </row>
    <row r="35" spans="1:21" x14ac:dyDescent="0.25">
      <c r="A35" s="1006" t="s">
        <v>209</v>
      </c>
      <c r="B35" s="1007"/>
      <c r="C35" s="768" t="str">
        <f>Texte_Sprachen!B90</f>
        <v>Obciążenie całkowite</v>
      </c>
      <c r="D35" s="768"/>
      <c r="E35" s="769">
        <f>(Lastermittlung_Podest!F28+Lastermittlung_Podest!F21)/1.35+Lastermittlung_Podest!F41</f>
        <v>71.627344847417376</v>
      </c>
      <c r="F35" s="768" t="s">
        <v>185</v>
      </c>
      <c r="G35" s="740"/>
      <c r="H35" s="652"/>
      <c r="I35" s="652"/>
      <c r="J35" s="652"/>
      <c r="K35" s="652"/>
      <c r="L35" s="652"/>
      <c r="M35" s="635"/>
      <c r="N35" s="868">
        <v>2</v>
      </c>
      <c r="O35" s="863" t="str">
        <f>_xlfn.XLOOKUP(N35,Fehlersuche!D17:D27,Fehlersuche!C17:C27,"",0,1)</f>
        <v/>
      </c>
      <c r="P35" s="863"/>
      <c r="Q35" s="863"/>
      <c r="R35" s="1"/>
      <c r="S35" s="1"/>
      <c r="T35" s="1"/>
      <c r="U35" s="16"/>
    </row>
    <row r="36" spans="1:21" x14ac:dyDescent="0.25">
      <c r="A36" s="1008"/>
      <c r="B36" s="1009"/>
      <c r="C36" s="740" t="str">
        <f>Texte_Sprachen!B93</f>
        <v>Reakcja na podporze - bieg</v>
      </c>
      <c r="D36" s="740"/>
      <c r="E36" s="770">
        <f>Lastermittlung_Podest!C45</f>
        <v>98.837677535811352</v>
      </c>
      <c r="F36" s="740" t="s">
        <v>185</v>
      </c>
      <c r="G36" s="740" t="str">
        <f>Texte_Sprachen!B95</f>
        <v>(łącznie z obciążeniem z biegu schodowego)</v>
      </c>
      <c r="H36" s="651"/>
      <c r="I36" s="651"/>
      <c r="J36" s="651"/>
      <c r="K36" s="652"/>
      <c r="L36" s="652"/>
      <c r="M36" s="635"/>
      <c r="N36" s="868">
        <v>3</v>
      </c>
      <c r="O36" s="863" t="str">
        <f>_xlfn.XLOOKUP(N36,Fehlersuche!D18:D28,Fehlersuche!C18:C28,"",0,1)</f>
        <v/>
      </c>
      <c r="P36" s="863"/>
      <c r="Q36" s="863"/>
      <c r="R36" s="1"/>
      <c r="S36" s="1"/>
      <c r="T36" s="1"/>
      <c r="U36" s="16"/>
    </row>
    <row r="37" spans="1:21" x14ac:dyDescent="0.25">
      <c r="A37" s="1010"/>
      <c r="B37" s="1011"/>
      <c r="C37" s="771" t="str">
        <f>Texte_Sprachen!B94</f>
        <v>Reakcja na podporze z tyłu</v>
      </c>
      <c r="D37" s="771"/>
      <c r="E37" s="772">
        <f>Lastermittlung_Podest!C46</f>
        <v>-27.210332688393979</v>
      </c>
      <c r="F37" s="771" t="s">
        <v>185</v>
      </c>
      <c r="G37" s="771" t="str">
        <f>Texte_Sprachen!B96</f>
        <v>(przy wartościach ujemnych - siły odrywające)</v>
      </c>
      <c r="H37" s="819"/>
      <c r="I37" s="819"/>
      <c r="J37" s="819"/>
      <c r="K37" s="819"/>
      <c r="L37" s="819"/>
      <c r="M37" s="820"/>
      <c r="N37" s="868">
        <v>4</v>
      </c>
      <c r="O37" s="863" t="str">
        <f>_xlfn.XLOOKUP(N37,Fehlersuche!D20:D29,Fehlersuche!C20:C29,"",0,1)</f>
        <v/>
      </c>
      <c r="P37" s="863"/>
      <c r="Q37" s="863"/>
      <c r="R37" s="1"/>
      <c r="S37" s="1"/>
      <c r="T37" s="1"/>
      <c r="U37" s="16"/>
    </row>
    <row r="38" spans="1:21" x14ac:dyDescent="0.25">
      <c r="A38" s="724"/>
      <c r="B38" s="652"/>
      <c r="C38" s="740"/>
      <c r="D38" s="740"/>
      <c r="E38" s="770"/>
      <c r="F38" s="740"/>
      <c r="G38" s="740"/>
      <c r="H38" s="652"/>
      <c r="I38" s="652"/>
      <c r="J38" s="652"/>
      <c r="K38" s="652"/>
      <c r="L38" s="652"/>
      <c r="M38" s="635"/>
      <c r="N38" s="868">
        <v>5</v>
      </c>
      <c r="O38" s="863" t="str">
        <f>_xlfn.XLOOKUP(N38,Fehlersuche!D21:D30,Fehlersuche!C21:C30,"",0,1)</f>
        <v/>
      </c>
      <c r="P38" s="863"/>
      <c r="Q38" s="863"/>
      <c r="R38" s="1"/>
      <c r="S38" s="1"/>
      <c r="T38" s="1"/>
      <c r="U38" s="16"/>
    </row>
    <row r="39" spans="1:21" x14ac:dyDescent="0.25">
      <c r="A39" s="724"/>
      <c r="B39" s="735" t="s">
        <v>210</v>
      </c>
      <c r="C39" s="773" t="str">
        <f>Texte_Sprachen!B106</f>
        <v>Obiciążenia całkowite (stałe + zmienne)</v>
      </c>
      <c r="D39" s="740"/>
      <c r="E39" s="770"/>
      <c r="F39" s="740"/>
      <c r="G39" s="771"/>
      <c r="H39" s="819"/>
      <c r="I39" s="819"/>
      <c r="J39" s="819"/>
      <c r="K39" s="819"/>
      <c r="L39" s="819"/>
      <c r="M39" s="820"/>
      <c r="N39" s="868">
        <v>6</v>
      </c>
      <c r="O39" s="863" t="str">
        <f>_xlfn.XLOOKUP(N39,Fehlersuche!D22:D31,Fehlersuche!C22:C31,"",0,1)</f>
        <v/>
      </c>
      <c r="P39" s="1"/>
      <c r="Q39" s="1"/>
      <c r="R39" s="1"/>
      <c r="S39" s="1"/>
      <c r="T39" s="1"/>
      <c r="U39" s="16"/>
    </row>
    <row r="40" spans="1:21" x14ac:dyDescent="0.25">
      <c r="A40" s="1006" t="s">
        <v>211</v>
      </c>
      <c r="B40" s="1007"/>
      <c r="C40" s="768" t="str">
        <f>Texte_Sprachen!B90</f>
        <v>Obciążenie całkowite</v>
      </c>
      <c r="D40" s="768"/>
      <c r="E40" s="769">
        <f>Lastermittlung_Podest!F34</f>
        <v>157.9569155440135</v>
      </c>
      <c r="F40" s="768" t="s">
        <v>185</v>
      </c>
      <c r="G40" s="740"/>
      <c r="H40" s="652"/>
      <c r="I40" s="652"/>
      <c r="J40" s="652"/>
      <c r="K40" s="652"/>
      <c r="L40" s="652"/>
      <c r="M40" s="635"/>
      <c r="N40" s="868">
        <v>7</v>
      </c>
      <c r="O40" s="863" t="str">
        <f>_xlfn.XLOOKUP(N40,Fehlersuche!D23:D32,Fehlersuche!C23:C32,"",0,1)</f>
        <v/>
      </c>
      <c r="P40" s="1"/>
      <c r="Q40" s="1"/>
      <c r="R40" s="1"/>
      <c r="S40" s="1"/>
      <c r="T40" s="1"/>
      <c r="U40" s="16"/>
    </row>
    <row r="41" spans="1:21" x14ac:dyDescent="0.25">
      <c r="A41" s="1008"/>
      <c r="B41" s="1009"/>
      <c r="C41" s="740" t="str">
        <f>Texte_Sprachen!B93</f>
        <v>Reakcja na podporze - bieg</v>
      </c>
      <c r="D41" s="740"/>
      <c r="E41" s="770">
        <f>Lastermittlung_Podest!C36</f>
        <v>212.55697181620255</v>
      </c>
      <c r="F41" s="740" t="s">
        <v>185</v>
      </c>
      <c r="G41" s="740" t="str">
        <f>Texte_Sprachen!B95</f>
        <v>(łącznie z obciążeniem z biegu schodowego)</v>
      </c>
      <c r="H41" s="651"/>
      <c r="I41" s="651"/>
      <c r="J41" s="651"/>
      <c r="K41" s="652"/>
      <c r="L41" s="652"/>
      <c r="M41" s="635"/>
      <c r="N41" s="868">
        <v>8</v>
      </c>
      <c r="O41" s="863" t="str">
        <f>_xlfn.XLOOKUP(N41,Fehlersuche!D26:D33,Fehlersuche!C26:C33,"",0,1)</f>
        <v/>
      </c>
      <c r="P41" s="1"/>
      <c r="Q41" s="1"/>
      <c r="R41" s="1"/>
      <c r="S41" s="1"/>
      <c r="T41" s="1"/>
      <c r="U41" s="16"/>
    </row>
    <row r="42" spans="1:21" x14ac:dyDescent="0.25">
      <c r="A42" s="1010"/>
      <c r="B42" s="1011"/>
      <c r="C42" s="771" t="str">
        <f>Texte_Sprachen!B94</f>
        <v>Reakcja na podporze z tyłu</v>
      </c>
      <c r="D42" s="771"/>
      <c r="E42" s="772">
        <f>Lastermittlung_Podest!C37</f>
        <v>-54.600056272189043</v>
      </c>
      <c r="F42" s="771" t="s">
        <v>185</v>
      </c>
      <c r="G42" s="771" t="str">
        <f>Texte_Sprachen!B96</f>
        <v>(przy wartościach ujemnych - siły odrywające)</v>
      </c>
      <c r="H42" s="819"/>
      <c r="I42" s="819"/>
      <c r="J42" s="819"/>
      <c r="K42" s="819"/>
      <c r="L42" s="819"/>
      <c r="M42" s="820"/>
      <c r="N42" s="868">
        <v>9</v>
      </c>
      <c r="O42" s="863" t="str">
        <f>_xlfn.XLOOKUP(N42,Fehlersuche!D27:D34,Fehlersuche!C27:C34,"",0,1)</f>
        <v/>
      </c>
      <c r="P42" s="1"/>
      <c r="Q42" s="1"/>
      <c r="R42" s="1"/>
      <c r="S42" s="1"/>
      <c r="T42" s="1"/>
      <c r="U42" s="16"/>
    </row>
    <row r="43" spans="1:21" ht="9.9499999999999993" customHeight="1" x14ac:dyDescent="0.25">
      <c r="A43" s="774"/>
      <c r="B43" s="775"/>
      <c r="C43" s="775"/>
      <c r="D43" s="775"/>
      <c r="E43" s="776"/>
      <c r="F43" s="777"/>
      <c r="G43" s="778"/>
      <c r="H43" s="779"/>
      <c r="I43" s="779"/>
      <c r="J43" s="779"/>
      <c r="K43" s="780"/>
      <c r="L43" s="777"/>
      <c r="M43" s="781"/>
      <c r="N43" s="17"/>
      <c r="O43" s="2"/>
      <c r="P43" s="2"/>
      <c r="Q43" s="2"/>
      <c r="R43" s="2"/>
      <c r="S43" s="2"/>
      <c r="T43" s="2"/>
      <c r="U43" s="18"/>
    </row>
    <row r="44" spans="1:21" ht="9.9499999999999993" customHeight="1" x14ac:dyDescent="0.25">
      <c r="A44" s="782"/>
      <c r="B44" s="760"/>
      <c r="C44" s="760"/>
      <c r="D44" s="760"/>
      <c r="E44" s="761"/>
      <c r="F44" s="766"/>
      <c r="G44" s="763"/>
      <c r="H44" s="764"/>
      <c r="I44" s="764"/>
      <c r="J44" s="764"/>
      <c r="K44" s="765"/>
      <c r="L44" s="766"/>
      <c r="M44" s="767"/>
      <c r="N44" s="12"/>
      <c r="O44" s="13"/>
      <c r="P44" s="13"/>
      <c r="Q44" s="13"/>
      <c r="R44" s="13"/>
      <c r="S44" s="13"/>
      <c r="T44" s="13"/>
      <c r="U44" s="14"/>
    </row>
    <row r="45" spans="1:21" x14ac:dyDescent="0.25">
      <c r="A45" s="783"/>
      <c r="B45" s="784" t="s">
        <v>212</v>
      </c>
      <c r="C45" s="736" t="str">
        <f>Texte_Sprachen!B97</f>
        <v>Podsumowanie</v>
      </c>
      <c r="D45" s="652"/>
      <c r="E45" s="652"/>
      <c r="F45" s="652"/>
      <c r="G45" s="652"/>
      <c r="H45" s="652"/>
      <c r="I45" s="652"/>
      <c r="J45" s="652"/>
      <c r="K45" s="652"/>
      <c r="L45" s="652"/>
      <c r="M45" s="635"/>
      <c r="N45" s="15"/>
      <c r="O45" s="1"/>
      <c r="P45" s="1"/>
      <c r="Q45" s="1"/>
      <c r="R45" s="1"/>
      <c r="S45" s="1"/>
      <c r="T45" s="1"/>
      <c r="U45" s="16"/>
    </row>
    <row r="46" spans="1:21" ht="15" customHeight="1" x14ac:dyDescent="0.25">
      <c r="A46" s="783"/>
      <c r="B46" s="744"/>
      <c r="C46" s="734" t="str">
        <f>Texte_Sprachen!B98</f>
        <v>Podparcie przy biegu</v>
      </c>
      <c r="D46" s="734"/>
      <c r="E46" s="738"/>
      <c r="F46" s="757"/>
      <c r="G46" s="740"/>
      <c r="H46" s="652"/>
      <c r="I46" s="652"/>
      <c r="J46" s="785"/>
      <c r="K46" s="785"/>
      <c r="L46" s="785"/>
      <c r="M46" s="786"/>
      <c r="N46" s="15"/>
      <c r="O46" s="1"/>
      <c r="P46" s="1"/>
      <c r="Q46" s="1"/>
      <c r="R46" s="1"/>
      <c r="S46" s="1"/>
      <c r="T46" s="1"/>
      <c r="U46" s="16"/>
    </row>
    <row r="47" spans="1:21" x14ac:dyDescent="0.25">
      <c r="A47" s="783"/>
      <c r="B47" s="744"/>
      <c r="C47" s="652" t="str">
        <f>Texte_Sprachen!B100</f>
        <v>Tronsole typu:</v>
      </c>
      <c r="D47" s="652"/>
      <c r="E47" s="653" t="str">
        <f>"2x "&amp;K24</f>
        <v>2x Typ P-V+V</v>
      </c>
      <c r="F47" s="757"/>
      <c r="G47" s="740"/>
      <c r="H47" s="1146" t="str">
        <f>IF(I49=0,"Tragfähigkeit der Standard-Tronsole überschritten!","")</f>
        <v/>
      </c>
      <c r="I47" s="1146"/>
      <c r="J47" s="1146"/>
      <c r="K47" s="1146"/>
      <c r="L47" s="1146"/>
      <c r="M47" s="1147"/>
      <c r="N47" s="15"/>
      <c r="O47" s="1"/>
      <c r="P47" s="1"/>
      <c r="Q47" s="1"/>
      <c r="R47" s="1"/>
      <c r="S47" s="1"/>
      <c r="T47" s="1"/>
      <c r="U47" s="16"/>
    </row>
    <row r="48" spans="1:21" x14ac:dyDescent="0.25">
      <c r="A48" s="783"/>
      <c r="B48" s="743"/>
      <c r="C48" s="652"/>
      <c r="D48" s="652"/>
      <c r="E48" s="652"/>
      <c r="F48" s="652"/>
      <c r="G48" s="652"/>
      <c r="H48" s="1146"/>
      <c r="I48" s="1146"/>
      <c r="J48" s="1146"/>
      <c r="K48" s="1146"/>
      <c r="L48" s="1146"/>
      <c r="M48" s="1147"/>
      <c r="N48" s="15"/>
      <c r="O48" s="1"/>
      <c r="P48" s="1"/>
      <c r="Q48" s="1"/>
      <c r="R48" s="1"/>
      <c r="S48" s="1"/>
      <c r="T48" s="1"/>
      <c r="U48" s="16"/>
    </row>
    <row r="49" spans="1:21" x14ac:dyDescent="0.25">
      <c r="A49" s="783"/>
      <c r="B49" s="743"/>
      <c r="C49" s="787" t="s">
        <v>472</v>
      </c>
      <c r="D49" s="788">
        <f>E41/2</f>
        <v>106.27848590810127</v>
      </c>
      <c r="E49" s="652" t="str">
        <f>"kN/"&amp;Texte_Sprachen!B103&amp;" |"</f>
        <v>kN/Tronsole |</v>
      </c>
      <c r="F49" s="757"/>
      <c r="G49" s="715" t="s">
        <v>214</v>
      </c>
      <c r="H49" s="787" t="s">
        <v>473</v>
      </c>
      <c r="I49" s="789">
        <f>IF(D49&gt;=0,Berechnung_Podest!F58,IF(D49&lt;0,Berechnung_Podest!F59,"n.v."))</f>
        <v>48.09</v>
      </c>
      <c r="J49" s="788" t="str">
        <f>"kN/"&amp;Texte_Sprachen!B103&amp;" |"</f>
        <v>kN/Tronsole |</v>
      </c>
      <c r="K49" s="719">
        <f>IF(OR(I49=0,L49=""),"-",D49/I49)</f>
        <v>2.2099913892306358</v>
      </c>
      <c r="L49" s="790" t="str">
        <f>IF(AND(D49&lt;&gt;0,I49=0),"û",IF(D49=0,"",IF(D49/I49&lt;=1,"ü","û")))</f>
        <v>û</v>
      </c>
      <c r="M49" s="755"/>
      <c r="N49" s="15"/>
      <c r="O49" s="1"/>
      <c r="P49" s="1"/>
      <c r="Q49" s="1"/>
      <c r="R49" s="1"/>
      <c r="S49" s="1"/>
      <c r="T49" s="1"/>
      <c r="U49" s="16"/>
    </row>
    <row r="50" spans="1:21" x14ac:dyDescent="0.25">
      <c r="A50" s="783"/>
      <c r="B50" s="743"/>
      <c r="C50" s="787"/>
      <c r="D50" s="788"/>
      <c r="E50" s="652"/>
      <c r="F50" s="757"/>
      <c r="G50" s="787"/>
      <c r="H50" s="789"/>
      <c r="I50" s="789"/>
      <c r="J50" s="788"/>
      <c r="K50" s="719"/>
      <c r="L50" s="790"/>
      <c r="M50" s="755"/>
      <c r="N50" s="15"/>
      <c r="O50" s="1"/>
      <c r="P50" s="1"/>
      <c r="Q50" s="1"/>
      <c r="R50" s="1"/>
      <c r="S50" s="1"/>
      <c r="T50" s="1"/>
      <c r="U50" s="16"/>
    </row>
    <row r="51" spans="1:21" x14ac:dyDescent="0.25">
      <c r="A51" s="783"/>
      <c r="B51" s="743"/>
      <c r="C51" s="787"/>
      <c r="D51" s="788"/>
      <c r="E51" s="652"/>
      <c r="F51" s="757"/>
      <c r="G51" s="787"/>
      <c r="H51" s="789"/>
      <c r="I51" s="789"/>
      <c r="J51" s="788"/>
      <c r="K51" s="719"/>
      <c r="L51" s="790"/>
      <c r="M51" s="755"/>
      <c r="N51" s="15"/>
      <c r="O51" s="1"/>
      <c r="P51" s="1"/>
      <c r="Q51" s="1"/>
      <c r="R51" s="1"/>
      <c r="S51" s="1"/>
      <c r="T51" s="1"/>
      <c r="U51" s="16"/>
    </row>
    <row r="52" spans="1:21" x14ac:dyDescent="0.25">
      <c r="A52" s="783"/>
      <c r="B52" s="743"/>
      <c r="C52" s="734" t="str">
        <f>Texte_Sprachen!B102</f>
        <v>Podparcie z tyłu</v>
      </c>
      <c r="D52" s="734"/>
      <c r="E52" s="738"/>
      <c r="F52" s="757"/>
      <c r="G52" s="740"/>
      <c r="H52" s="747"/>
      <c r="I52" s="747"/>
      <c r="J52" s="747"/>
      <c r="K52" s="753"/>
      <c r="L52" s="757"/>
      <c r="M52" s="755"/>
      <c r="N52" s="15"/>
      <c r="O52" s="1"/>
      <c r="P52" s="1"/>
      <c r="Q52" s="1"/>
      <c r="R52" s="1"/>
      <c r="S52" s="1"/>
      <c r="T52" s="1"/>
      <c r="U52" s="16"/>
    </row>
    <row r="53" spans="1:21" x14ac:dyDescent="0.25">
      <c r="A53" s="783"/>
      <c r="B53" s="743"/>
      <c r="C53" s="652" t="str">
        <f>Texte_Sprachen!B100</f>
        <v>Tronsole typu:</v>
      </c>
      <c r="D53" s="652"/>
      <c r="E53" s="653" t="str">
        <f>"2x "&amp;K24</f>
        <v>2x Typ P-V+V</v>
      </c>
      <c r="F53" s="757"/>
      <c r="G53" s="740"/>
      <c r="H53" s="1146"/>
      <c r="I53" s="1146"/>
      <c r="J53" s="1146"/>
      <c r="K53" s="1146"/>
      <c r="L53" s="1146"/>
      <c r="M53" s="1147"/>
      <c r="N53" s="15"/>
      <c r="O53" s="1"/>
      <c r="P53" s="1"/>
      <c r="Q53" s="1"/>
      <c r="R53" s="1"/>
      <c r="S53" s="1"/>
      <c r="T53" s="1"/>
      <c r="U53" s="16"/>
    </row>
    <row r="54" spans="1:21" x14ac:dyDescent="0.25">
      <c r="A54" s="783"/>
      <c r="B54" s="743"/>
      <c r="C54" s="652"/>
      <c r="D54" s="652"/>
      <c r="E54" s="652"/>
      <c r="F54" s="652"/>
      <c r="G54" s="652"/>
      <c r="H54" s="1146"/>
      <c r="I54" s="1146"/>
      <c r="J54" s="1146"/>
      <c r="K54" s="1146"/>
      <c r="L54" s="1146"/>
      <c r="M54" s="1147"/>
      <c r="N54" s="15"/>
      <c r="O54" s="1"/>
      <c r="P54" s="1"/>
      <c r="Q54" s="1"/>
      <c r="R54" s="1"/>
      <c r="S54" s="1"/>
      <c r="T54" s="1"/>
      <c r="U54" s="16"/>
    </row>
    <row r="55" spans="1:21" x14ac:dyDescent="0.25">
      <c r="A55" s="783"/>
      <c r="B55" s="743"/>
      <c r="C55" s="787" t="s">
        <v>472</v>
      </c>
      <c r="D55" s="788">
        <f>E42/2</f>
        <v>-27.300028136094522</v>
      </c>
      <c r="E55" s="652" t="str">
        <f>"kN/"&amp;Texte_Sprachen!B103&amp;" |"</f>
        <v>kN/Tronsole |</v>
      </c>
      <c r="F55" s="757"/>
      <c r="G55" s="715" t="s">
        <v>214</v>
      </c>
      <c r="H55" s="787" t="s">
        <v>473</v>
      </c>
      <c r="I55" s="789">
        <f>IF(D55&gt;=0,Berechnung_Podest!F58,IF(D55&lt;0,Berechnung_Podest!F59,"n.v."))</f>
        <v>-15</v>
      </c>
      <c r="J55" s="788" t="str">
        <f>"kN/"&amp;Texte_Sprachen!B103&amp;" |"</f>
        <v>kN/Tronsole |</v>
      </c>
      <c r="K55" s="717">
        <f>IFERROR(IF(OR(I55=0,L55=""),"-",D55/I55),"")</f>
        <v>1.8200018757396348</v>
      </c>
      <c r="L55" s="790" t="str">
        <f>IF(AND(D55&lt;&gt;0,I55=0),"û",IF(D55=0,"",IF(D55/I55&lt;=1,"ü","û")))</f>
        <v>û</v>
      </c>
      <c r="M55" s="755"/>
      <c r="N55" s="15"/>
      <c r="O55" s="1"/>
      <c r="P55" s="1"/>
      <c r="Q55" s="1"/>
      <c r="R55" s="1"/>
      <c r="S55" s="1"/>
      <c r="T55" s="1"/>
      <c r="U55" s="16"/>
    </row>
    <row r="56" spans="1:21" x14ac:dyDescent="0.25">
      <c r="A56" s="783"/>
      <c r="B56" s="743"/>
      <c r="C56" s="787"/>
      <c r="D56" s="788"/>
      <c r="E56" s="652"/>
      <c r="F56" s="757"/>
      <c r="G56" s="787"/>
      <c r="H56" s="789"/>
      <c r="I56" s="789"/>
      <c r="J56" s="788"/>
      <c r="K56" s="717"/>
      <c r="L56" s="790"/>
      <c r="M56" s="755"/>
      <c r="N56" s="15"/>
      <c r="O56" s="1"/>
      <c r="P56" s="1"/>
      <c r="Q56" s="1"/>
      <c r="R56" s="1"/>
      <c r="S56" s="1"/>
      <c r="T56" s="1"/>
      <c r="U56" s="16"/>
    </row>
    <row r="57" spans="1:21" x14ac:dyDescent="0.25">
      <c r="A57" s="783"/>
      <c r="B57" s="743"/>
      <c r="C57" s="787"/>
      <c r="D57" s="788"/>
      <c r="E57" s="652"/>
      <c r="F57" s="757"/>
      <c r="G57" s="787"/>
      <c r="H57" s="789"/>
      <c r="I57" s="789"/>
      <c r="J57" s="788"/>
      <c r="K57" s="717"/>
      <c r="L57" s="790"/>
      <c r="M57" s="755"/>
      <c r="N57" s="15"/>
      <c r="O57" s="1"/>
      <c r="P57" s="1"/>
      <c r="Q57" s="1"/>
      <c r="R57" s="1"/>
      <c r="S57" s="1"/>
      <c r="T57" s="1"/>
      <c r="U57" s="16"/>
    </row>
    <row r="58" spans="1:21" x14ac:dyDescent="0.25">
      <c r="A58" s="783"/>
      <c r="B58" s="743"/>
      <c r="C58" s="652"/>
      <c r="D58" s="787"/>
      <c r="E58" s="788"/>
      <c r="F58" s="652"/>
      <c r="G58" s="787"/>
      <c r="H58" s="789"/>
      <c r="I58" s="789"/>
      <c r="J58" s="788"/>
      <c r="K58" s="719"/>
      <c r="L58" s="790"/>
      <c r="M58" s="755"/>
      <c r="N58" s="15"/>
      <c r="O58" s="1"/>
      <c r="P58" s="1"/>
      <c r="Q58" s="1"/>
      <c r="R58" s="1"/>
      <c r="S58" s="1"/>
      <c r="T58" s="1"/>
      <c r="U58" s="16"/>
    </row>
    <row r="59" spans="1:21" ht="9.9499999999999993" customHeight="1" x14ac:dyDescent="0.25">
      <c r="A59" s="791"/>
      <c r="B59" s="792"/>
      <c r="C59" s="792"/>
      <c r="D59" s="792"/>
      <c r="E59" s="792"/>
      <c r="F59" s="792"/>
      <c r="G59" s="792"/>
      <c r="H59" s="792"/>
      <c r="I59" s="792"/>
      <c r="J59" s="792"/>
      <c r="K59" s="792"/>
      <c r="L59" s="792"/>
      <c r="M59" s="793"/>
      <c r="N59" s="17"/>
      <c r="O59" s="2"/>
      <c r="P59" s="2"/>
      <c r="Q59" s="2"/>
      <c r="R59" s="2"/>
      <c r="S59" s="2"/>
      <c r="T59" s="2"/>
      <c r="U59" s="18"/>
    </row>
  </sheetData>
  <sheetProtection algorithmName="SHA-512" hashValue="OrK3oEkJGQhtXHt8YZNNMygeCArcxrKNFIF5eLrYlrc7b7pqdDFCbnrlUAfpIEyyceDKwow4II3ct8w8TPNsIQ==" saltValue="chP3LpFI1n1rndFxjUHFdA==" spinCount="100000" sheet="1" selectLockedCells="1"/>
  <protectedRanges>
    <protectedRange sqref="D5:I6 D7 E14:E15 E18:E19 E20 E21:E25 K14:K15 K18 K20:K21 K24:L26 K27:K29" name="Bearbeitung Blatt Podest"/>
  </protectedRanges>
  <mergeCells count="23">
    <mergeCell ref="J9:M9"/>
    <mergeCell ref="K8:L8"/>
    <mergeCell ref="H47:M48"/>
    <mergeCell ref="H53:M54"/>
    <mergeCell ref="H18:J19"/>
    <mergeCell ref="H20:J20"/>
    <mergeCell ref="H21:J21"/>
    <mergeCell ref="K24:L24"/>
    <mergeCell ref="H25:J26"/>
    <mergeCell ref="K25:L26"/>
    <mergeCell ref="A35:B37"/>
    <mergeCell ref="A40:B42"/>
    <mergeCell ref="B4:C4"/>
    <mergeCell ref="E4:F4"/>
    <mergeCell ref="B5:C5"/>
    <mergeCell ref="D5:H5"/>
    <mergeCell ref="B6:C6"/>
    <mergeCell ref="D6:H6"/>
    <mergeCell ref="B7:C7"/>
    <mergeCell ref="D7:E7"/>
    <mergeCell ref="B8:C8"/>
    <mergeCell ref="D8:E8"/>
    <mergeCell ref="E20:F20"/>
  </mergeCells>
  <phoneticPr fontId="36" type="noConversion"/>
  <conditionalFormatting sqref="C49:L49 C55:L55">
    <cfRule type="expression" dxfId="8" priority="2">
      <formula>OR($K$49&gt;1,$K$55&gt;1)</formula>
    </cfRule>
  </conditionalFormatting>
  <conditionalFormatting sqref="D23:F23">
    <cfRule type="expression" dxfId="7" priority="73">
      <formula>AND(LEFT($K$24,5)="Typ P",$E$14="R 90",$E$23&lt;0.18)</formula>
    </cfRule>
  </conditionalFormatting>
  <conditionalFormatting sqref="E35:M59 C49:D49 C55:D55">
    <cfRule type="expression" dxfId="6" priority="3">
      <formula>$O$33&lt;&gt;""</formula>
    </cfRule>
  </conditionalFormatting>
  <conditionalFormatting sqref="H27:L27 H29:L29">
    <cfRule type="expression" dxfId="5" priority="1">
      <formula>$K$25&lt;&gt;"Typ F"</formula>
    </cfRule>
  </conditionalFormatting>
  <conditionalFormatting sqref="L20:L21">
    <cfRule type="expression" dxfId="3" priority="39">
      <formula>$K$18="ja"</formula>
    </cfRule>
  </conditionalFormatting>
  <conditionalFormatting sqref="M20:M21">
    <cfRule type="expression" dxfId="2" priority="8">
      <formula>$K$18="nein"</formula>
    </cfRule>
  </conditionalFormatting>
  <conditionalFormatting sqref="N34:N42">
    <cfRule type="expression" dxfId="1" priority="4">
      <formula>O34=""</formula>
    </cfRule>
  </conditionalFormatting>
  <dataValidations count="10">
    <dataValidation type="list" allowBlank="1" showInputMessage="1" showErrorMessage="1" sqref="K24" xr:uid="{9F13897C-F40B-4243-965F-D500A723D25D}">
      <formula1>"Typ Z-V,Typ Z-V+V,Typ Z-VH+VH,Typ P-V+V,Typ P-VH+VH"</formula1>
    </dataValidation>
    <dataValidation type="list" allowBlank="1" showInputMessage="1" showErrorMessage="1" sqref="E15" xr:uid="{D5F8E5A6-0FFD-466A-9977-317EB9770FCC}">
      <formula1>"C20/25,C25/30,C30/37,C35/45"</formula1>
    </dataValidation>
    <dataValidation type="list" allowBlank="1" showInputMessage="1" showErrorMessage="1" sqref="K25" xr:uid="{BCC18D9C-9576-47CD-BA0B-AFC082D239D0}">
      <formula1>"Typ F,Typ T"</formula1>
    </dataValidation>
    <dataValidation type="decimal" allowBlank="1" showInputMessage="1" showErrorMessage="1" errorTitle="Error" error="150 cm ≤ L ≤ 450 cm" sqref="E18" xr:uid="{77BEFCCE-4C4F-4832-8178-A32382559DE2}">
      <formula1>150</formula1>
      <formula2>450</formula2>
    </dataValidation>
    <dataValidation type="decimal" allowBlank="1" showInputMessage="1" showErrorMessage="1" errorTitle="Error" error="40 cm ≤ B ≤ 300 cm" sqref="E19" xr:uid="{F0F44C39-4536-498A-BEC7-7064615BCD72}">
      <formula1>40</formula1>
      <formula2>300</formula2>
    </dataValidation>
    <dataValidation type="decimal" allowBlank="1" showInputMessage="1" showErrorMessage="1" errorTitle="Error" error="0 cm ≤ Lv ≤ 50 cm" sqref="E25" xr:uid="{517EDC83-03F7-4EF9-ACE5-903BB6B49F0B}">
      <formula1>0</formula1>
      <formula2>50</formula2>
    </dataValidation>
    <dataValidation type="decimal" allowBlank="1" showInputMessage="1" showErrorMessage="1" errorTitle="Error" error="0 kN/m² ≤ x ≤ 10 kN/m²" sqref="K14:K15" xr:uid="{2E4D394B-38D8-44FB-9B03-DE8B17F995B7}">
      <formula1>0</formula1>
      <formula2>10</formula2>
    </dataValidation>
    <dataValidation type="decimal" allowBlank="1" showInputMessage="1" showErrorMessage="1" errorTitle="Error" error="75 cm ≤ LB ≤ (L/2)" sqref="K28" xr:uid="{EF8A670B-0766-4CE4-B5D8-996FC5904C30}">
      <formula1>75</formula1>
      <formula2>E18/2</formula2>
    </dataValidation>
    <dataValidation type="decimal" allowBlank="1" showInputMessage="1" showErrorMessage="1" sqref="K20:K21" xr:uid="{104BFA91-B9B1-4F66-A64D-CDA541F90FDE}">
      <formula1>0</formula1>
      <formula2>100</formula2>
    </dataValidation>
    <dataValidation type="whole" allowBlank="1" showInputMessage="1" showErrorMessage="1" errorTitle="Error" error="9 cm ≤ Hk ≤ H" sqref="K29" xr:uid="{87AB5D9A-4A8E-437C-B76C-DA4AFF17929B}">
      <formula1>9</formula1>
      <formula2>E23</formula2>
    </dataValidation>
  </dataValidations>
  <pageMargins left="0.7" right="0.7" top="0.75" bottom="0.75" header="0.3" footer="0.3"/>
  <pageSetup paperSize="9" orientation="portrait" r:id="rId1"/>
  <rowBreaks count="1" manualBreakCount="1">
    <brk id="43" max="16383" man="1"/>
  </rowBreaks>
  <customProperties>
    <customPr name="_pios_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8" id="{00000000-000E-0000-0A00-000026000000}">
            <xm:f>$K$18=Texte_Sprachen!$B$164</xm:f>
            <x14:dxf>
              <font>
                <strike/>
              </font>
              <fill>
                <patternFill>
                  <bgColor theme="0" tint="-4.9989318521683403E-2"/>
                </patternFill>
              </fill>
            </x14:dxf>
          </x14:cfRule>
          <xm:sqref>K20:K21</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D730535D-CCAF-4400-ABAB-FCA47882046F}">
          <x14:formula1>
            <xm:f>Texte_Sprachen!$B$164:$B$165</xm:f>
          </x14:formula1>
          <xm:sqref>K18</xm:sqref>
        </x14:dataValidation>
        <x14:dataValidation type="list" allowBlank="1" showInputMessage="1" showErrorMessage="1" xr:uid="{EA90A727-9623-4208-9E21-F343CDE588FB}">
          <x14:formula1>
            <xm:f>Texte_Sprachen!$B$154:$B$155</xm:f>
          </x14:formula1>
          <xm:sqref>E14</xm:sqref>
        </x14:dataValidation>
        <x14:dataValidation type="list" allowBlank="1" showInputMessage="1" showErrorMessage="1" xr:uid="{6A96B038-68E3-4FC9-AE9C-A552A34A79A4}">
          <x14:formula1>
            <xm:f>Eingabekonfig_Treppenlauf!$B$60:$B$63</xm:f>
          </x14:formula1>
          <xm:sqref>K27</xm:sqref>
        </x14:dataValidation>
        <x14:dataValidation type="list" allowBlank="1" showInputMessage="1" showErrorMessage="1" xr:uid="{E96EB8C5-C102-442B-BD49-0BC02E5B1F46}">
          <x14:formula1>
            <xm:f>Texte_Sprachen!$B$61:$B$62</xm:f>
          </x14:formula1>
          <xm:sqref>E20</xm:sqref>
        </x14:dataValidation>
        <x14:dataValidation type="decimal" allowBlank="1" showInputMessage="1" showErrorMessage="1" errorTitle="Error" error="16 cm ≤ H ≤ 50 cm_x000a_(R 90 - Typ P: 18 cm ≤ H ≤ 50 cm)" xr:uid="{46DC8C61-F552-4248-A9D4-2ADB925D6BEA}">
          <x14:formula1>
            <xm:f>Eingabekonfig_Treppenlauf!B135</xm:f>
          </x14:formula1>
          <x14:formula2>
            <xm:f>50</xm:f>
          </x14:formula2>
          <xm:sqref>E23</xm:sqref>
        </x14:dataValidation>
        <x14:dataValidation type="decimal" allowBlank="1" showInputMessage="1" showErrorMessage="1" errorTitle="Error" error="Typ Z: (Lk + 12,6 cm) ≤ b1 ≤ (B/2)_x000a_Typ P: (Lk + 20,0 cm) ≤ b1 ≤ (B/2)" xr:uid="{EE511D63-828D-4B89-B884-106EF5B44006}">
          <x14:formula1>
            <xm:f>Eingabekonfig_Treppenlauf!B133</xm:f>
          </x14:formula1>
          <x14:formula2>
            <xm:f>E19/2</xm:f>
          </x14:formula2>
          <xm:sqref>E21</xm:sqref>
        </x14:dataValidation>
        <x14:dataValidation type="decimal" allowBlank="1" showInputMessage="1" showErrorMessage="1" errorTitle="Error" error="Typ Z: 12,6 cm ≤ b3 ≤ (B/2)_x000a_Typ P: 20,0 cm ≤ b3 ≤ (B/2)" xr:uid="{A562B47C-83C5-44DD-8BAE-15E679EF1B26}">
          <x14:formula1>
            <xm:f>Eingabekonfig_Treppenlauf!B134</xm:f>
          </x14:formula1>
          <x14:formula2>
            <xm:f>E19/2</xm:f>
          </x14:formula2>
          <xm:sqref>E22</xm:sqref>
        </x14:dataValidation>
        <x14:dataValidation type="decimal" allowBlank="1" showInputMessage="1" showErrorMessage="1" errorTitle="Error" error="Typ Z: 1,5 cm_x000a_Typ P: 1,5 - 5,0 cm" xr:uid="{86D7762F-C8B6-45EC-A2C6-7B8057DF1E05}">
          <x14:formula1>
            <xm:f>1.5</xm:f>
          </x14:formula1>
          <x14:formula2>
            <xm:f>Eingabekonfig_Treppenlauf!B132</xm:f>
          </x14:formula2>
          <xm:sqref>E24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D74F7-2159-495F-8066-1CE6D18F0F91}">
  <sheetPr codeName="Tabelle7"/>
  <dimension ref="A1:G48"/>
  <sheetViews>
    <sheetView zoomScale="70" zoomScaleNormal="70" workbookViewId="0">
      <selection activeCell="C41" sqref="C41"/>
    </sheetView>
  </sheetViews>
  <sheetFormatPr baseColWidth="10" defaultColWidth="10.85546875" defaultRowHeight="14.25" x14ac:dyDescent="0.2"/>
  <cols>
    <col min="1" max="1" width="37.28515625" style="243" bestFit="1" customWidth="1"/>
    <col min="2" max="2" width="13.5703125" style="244" bestFit="1" customWidth="1"/>
    <col min="3" max="3" width="25.140625" style="244" bestFit="1" customWidth="1"/>
    <col min="4" max="4" width="11.42578125" style="244" bestFit="1" customWidth="1"/>
    <col min="5" max="5" width="15.140625" style="244" bestFit="1" customWidth="1"/>
    <col min="6" max="6" width="21.5703125" style="243" bestFit="1" customWidth="1"/>
    <col min="7" max="16384" width="10.85546875" style="243"/>
  </cols>
  <sheetData>
    <row r="1" spans="1:7" ht="15" x14ac:dyDescent="0.25">
      <c r="A1" s="1045" t="s">
        <v>247</v>
      </c>
      <c r="B1" s="1046"/>
      <c r="C1" s="1046"/>
      <c r="D1" s="1046"/>
      <c r="E1" s="1160"/>
      <c r="F1" s="276"/>
      <c r="G1" s="277"/>
    </row>
    <row r="2" spans="1:7" x14ac:dyDescent="0.2">
      <c r="A2" s="278" t="s">
        <v>142</v>
      </c>
      <c r="B2" s="264" t="s">
        <v>248</v>
      </c>
      <c r="C2" s="264" t="s">
        <v>474</v>
      </c>
      <c r="D2" s="264"/>
      <c r="E2" s="265"/>
      <c r="F2" s="267"/>
      <c r="G2" s="279"/>
    </row>
    <row r="3" spans="1:7" x14ac:dyDescent="0.2">
      <c r="A3" s="923" t="s">
        <v>475</v>
      </c>
      <c r="B3" s="922" t="s">
        <v>476</v>
      </c>
      <c r="C3" s="323">
        <f>'SPOCZNIK - DANE'!E23</f>
        <v>25</v>
      </c>
      <c r="D3" s="268"/>
      <c r="E3" s="270"/>
      <c r="F3" s="267"/>
      <c r="G3" s="279"/>
    </row>
    <row r="4" spans="1:7" x14ac:dyDescent="0.2">
      <c r="A4" s="923" t="s">
        <v>477</v>
      </c>
      <c r="B4" s="922" t="s">
        <v>478</v>
      </c>
      <c r="C4" s="323">
        <f>'SPOCZNIK - DANE'!E18</f>
        <v>250</v>
      </c>
      <c r="D4" s="268"/>
      <c r="E4" s="270"/>
      <c r="F4" s="267"/>
      <c r="G4" s="279"/>
    </row>
    <row r="5" spans="1:7" x14ac:dyDescent="0.2">
      <c r="A5" s="923" t="s">
        <v>479</v>
      </c>
      <c r="B5" s="922" t="s">
        <v>480</v>
      </c>
      <c r="C5" s="323">
        <f>'SPOCZNIK - DANE'!E19</f>
        <v>100</v>
      </c>
      <c r="D5" s="268"/>
      <c r="E5" s="270"/>
      <c r="F5" s="267"/>
      <c r="G5" s="279"/>
    </row>
    <row r="6" spans="1:7" x14ac:dyDescent="0.2">
      <c r="A6" s="923" t="s">
        <v>90</v>
      </c>
      <c r="B6" s="922" t="s">
        <v>481</v>
      </c>
      <c r="C6" s="269">
        <f>IF('SPOCZNIK - DANE'!K25="Typ F",'SPOCZNIK - DANE'!K29,C3)</f>
        <v>12</v>
      </c>
      <c r="D6" s="268"/>
      <c r="E6" s="270"/>
      <c r="F6" s="267"/>
      <c r="G6" s="279"/>
    </row>
    <row r="7" spans="1:7" x14ac:dyDescent="0.2">
      <c r="A7" s="923" t="s">
        <v>88</v>
      </c>
      <c r="B7" s="922" t="s">
        <v>482</v>
      </c>
      <c r="C7" s="269">
        <f>'SPOCZNIK - DANE'!K27</f>
        <v>13</v>
      </c>
      <c r="D7" s="268"/>
      <c r="E7" s="270"/>
      <c r="F7" s="267"/>
      <c r="G7" s="279"/>
    </row>
    <row r="8" spans="1:7" x14ac:dyDescent="0.2">
      <c r="A8" s="923" t="s">
        <v>52</v>
      </c>
      <c r="B8" s="922" t="s">
        <v>483</v>
      </c>
      <c r="C8" s="268">
        <f>'SPOCZNIK - DANE'!K28</f>
        <v>101.5</v>
      </c>
      <c r="D8" s="268"/>
      <c r="E8" s="270"/>
      <c r="F8" s="267"/>
      <c r="G8" s="279"/>
    </row>
    <row r="9" spans="1:7" x14ac:dyDescent="0.2">
      <c r="A9" s="923" t="s">
        <v>79</v>
      </c>
      <c r="B9" s="922"/>
      <c r="C9" s="268">
        <f>'SPOCZNIK - DANE'!E21</f>
        <v>33</v>
      </c>
      <c r="D9" s="268"/>
      <c r="E9" s="270"/>
      <c r="F9" s="267"/>
      <c r="G9" s="279"/>
    </row>
    <row r="10" spans="1:7" x14ac:dyDescent="0.2">
      <c r="A10" s="923" t="s">
        <v>80</v>
      </c>
      <c r="B10" s="922"/>
      <c r="C10" s="828">
        <f>IF('SPOCZNIK - DANE'!E20=Texte_Sprachen!B61,'SPOCZNIK - DANE'!E22,
IF(LEFT('SPOCZNIK - DANE'!K24,5)="Typ P",-('SPOCZNIK - DANE'!E24+5.1),
IF(LEFT('SPOCZNIK - DANE'!K24,5)="Typ Z",-('SPOCZNIK - DANE'!E24+6.7),
)))</f>
        <v>25</v>
      </c>
      <c r="D10" s="268"/>
      <c r="E10" s="270"/>
      <c r="F10" s="267"/>
      <c r="G10" s="279"/>
    </row>
    <row r="11" spans="1:7" x14ac:dyDescent="0.2">
      <c r="A11" s="923" t="s">
        <v>484</v>
      </c>
      <c r="B11" s="922"/>
      <c r="C11" s="268">
        <f>'SPOCZNIK - DANE'!E25</f>
        <v>0</v>
      </c>
      <c r="D11" s="268"/>
      <c r="E11" s="270"/>
      <c r="F11" s="267"/>
      <c r="G11" s="279"/>
    </row>
    <row r="12" spans="1:7" ht="15" x14ac:dyDescent="0.25">
      <c r="A12" s="1038" t="s">
        <v>485</v>
      </c>
      <c r="B12" s="1039"/>
      <c r="C12" s="1039"/>
      <c r="D12" s="1039"/>
      <c r="E12" s="1161"/>
      <c r="F12" s="267"/>
      <c r="G12" s="279"/>
    </row>
    <row r="13" spans="1:7" x14ac:dyDescent="0.2">
      <c r="A13" s="923" t="s">
        <v>486</v>
      </c>
      <c r="B13" s="268"/>
      <c r="C13" s="268">
        <f>IF(LEFT('SPOCZNIK - DANE'!K24,5)="Typ Z",1,0)*15.2*15.8*25.2*2*'SPOCZNIK - DANE'!K16/1000000</f>
        <v>0</v>
      </c>
      <c r="D13" s="270"/>
      <c r="E13" s="271"/>
      <c r="F13" s="267"/>
      <c r="G13" s="279"/>
    </row>
    <row r="14" spans="1:7" x14ac:dyDescent="0.2">
      <c r="A14" s="923" t="s">
        <v>487</v>
      </c>
      <c r="B14" s="268"/>
      <c r="C14" s="268">
        <f>IF(LEFT('SPOCZNIK - DANE'!K24,5)="Typ Z",1,0)*15.2*15.8*25.2*2*'SPOCZNIK - DANE'!K16/1000000</f>
        <v>0</v>
      </c>
      <c r="D14" s="270"/>
      <c r="E14" s="271"/>
      <c r="F14" s="267"/>
      <c r="G14" s="279"/>
    </row>
    <row r="15" spans="1:7" x14ac:dyDescent="0.2">
      <c r="A15" s="923" t="s">
        <v>488</v>
      </c>
      <c r="B15" s="268"/>
      <c r="C15" s="268">
        <f>C11*(C4-2*C8)*C3*'SPOCZNIK - DANE'!K16/1000000</f>
        <v>0</v>
      </c>
      <c r="D15" s="270"/>
      <c r="E15" s="271"/>
      <c r="F15" s="267"/>
      <c r="G15" s="279"/>
    </row>
    <row r="16" spans="1:7" ht="15" x14ac:dyDescent="0.25">
      <c r="A16" s="324" t="s">
        <v>489</v>
      </c>
      <c r="B16" s="268"/>
      <c r="C16" s="268">
        <f>C3*C4*C5*'SPOCZNIK - DANE'!K16/1000000+C13+C14+C15</f>
        <v>15.625</v>
      </c>
      <c r="D16" s="270"/>
      <c r="E16" s="271"/>
      <c r="F16" s="267"/>
      <c r="G16" s="279"/>
    </row>
    <row r="17" spans="1:7" ht="15" x14ac:dyDescent="0.25">
      <c r="A17" s="1038" t="s">
        <v>490</v>
      </c>
      <c r="B17" s="1039"/>
      <c r="C17" s="1039"/>
      <c r="D17" s="1039"/>
      <c r="E17" s="1161"/>
      <c r="F17" s="1159" t="s">
        <v>491</v>
      </c>
      <c r="G17" s="1040"/>
    </row>
    <row r="18" spans="1:7" ht="15" x14ac:dyDescent="0.25">
      <c r="A18" s="278" t="s">
        <v>492</v>
      </c>
      <c r="B18" s="921" t="s">
        <v>493</v>
      </c>
      <c r="C18" s="264" t="s">
        <v>494</v>
      </c>
      <c r="D18" s="921" t="s">
        <v>492</v>
      </c>
      <c r="E18" s="265" t="s">
        <v>294</v>
      </c>
      <c r="F18" s="287" t="s">
        <v>495</v>
      </c>
      <c r="G18" s="330" t="s">
        <v>59</v>
      </c>
    </row>
    <row r="19" spans="1:7" ht="15" x14ac:dyDescent="0.25">
      <c r="A19" s="923" t="s">
        <v>496</v>
      </c>
      <c r="B19" s="268"/>
      <c r="C19" s="268">
        <f>C5/2</f>
        <v>50</v>
      </c>
      <c r="D19" s="270">
        <f>C4*C5/10000</f>
        <v>2.5</v>
      </c>
      <c r="E19" s="271">
        <f>D19*C19</f>
        <v>125</v>
      </c>
      <c r="F19" s="333"/>
      <c r="G19" s="331"/>
    </row>
    <row r="20" spans="1:7" ht="15" x14ac:dyDescent="0.25">
      <c r="A20" s="934" t="s">
        <v>497</v>
      </c>
      <c r="B20" s="268"/>
      <c r="C20" s="268">
        <f>-C11/2</f>
        <v>0</v>
      </c>
      <c r="D20" s="270">
        <f>C11*(C4-2*C8)/10000</f>
        <v>0</v>
      </c>
      <c r="E20" s="271">
        <f>D20*C20</f>
        <v>0</v>
      </c>
      <c r="F20" s="334"/>
      <c r="G20" s="331"/>
    </row>
    <row r="21" spans="1:7" ht="15" x14ac:dyDescent="0.25">
      <c r="A21" s="287" t="s">
        <v>498</v>
      </c>
      <c r="B21" s="288"/>
      <c r="C21" s="1165">
        <f>SUM(E19:E20)/SUM(D19:D20)</f>
        <v>50</v>
      </c>
      <c r="D21" s="1165"/>
      <c r="E21" s="1165"/>
      <c r="F21" s="274">
        <f>SUM(D19:D20)*'SPOCZNIK - DANE'!K14*1.35</f>
        <v>0</v>
      </c>
      <c r="G21" s="328">
        <f>SUM(D19:D20)*'SPOCZNIK - DANE'!K15*1.5</f>
        <v>18.75</v>
      </c>
    </row>
    <row r="22" spans="1:7" ht="15" x14ac:dyDescent="0.25">
      <c r="A22" s="1038" t="s">
        <v>499</v>
      </c>
      <c r="B22" s="1039"/>
      <c r="C22" s="1039"/>
      <c r="D22" s="1039"/>
      <c r="E22" s="1161"/>
      <c r="F22" s="325"/>
      <c r="G22" s="326"/>
    </row>
    <row r="23" spans="1:7" ht="15" x14ac:dyDescent="0.25">
      <c r="A23" s="278" t="s">
        <v>492</v>
      </c>
      <c r="B23" s="921" t="s">
        <v>493</v>
      </c>
      <c r="C23" s="264" t="s">
        <v>494</v>
      </c>
      <c r="D23" s="921" t="s">
        <v>293</v>
      </c>
      <c r="E23" s="265" t="s">
        <v>294</v>
      </c>
      <c r="F23" s="287" t="s">
        <v>500</v>
      </c>
      <c r="G23" s="326"/>
    </row>
    <row r="24" spans="1:7" ht="15" x14ac:dyDescent="0.25">
      <c r="A24" s="923" t="s">
        <v>501</v>
      </c>
      <c r="B24" s="268"/>
      <c r="C24" s="268">
        <f>C9</f>
        <v>33</v>
      </c>
      <c r="D24" s="268">
        <f>IF(LEFT('SPOCZNIK - DANE'!K24,5)="Typ Z",1,0)*15.2*15.8*25.2*2*'SPOCZNIK - DANE'!K16/1000000</f>
        <v>0</v>
      </c>
      <c r="E24" s="270">
        <f t="shared" ref="E24:E26" si="0">C24*D24</f>
        <v>0</v>
      </c>
      <c r="F24" s="332"/>
      <c r="G24" s="326"/>
    </row>
    <row r="25" spans="1:7" ht="15" x14ac:dyDescent="0.25">
      <c r="A25" s="923" t="s">
        <v>502</v>
      </c>
      <c r="B25" s="268"/>
      <c r="C25" s="323">
        <f>C5-C10</f>
        <v>75</v>
      </c>
      <c r="D25" s="268">
        <f>IF(LEFT('SPOCZNIK - DANE'!K24,5)="Typ Z",1,0)*15.2*15.8*25.2*2*'SPOCZNIK - DANE'!K16/1000000</f>
        <v>0</v>
      </c>
      <c r="E25" s="270">
        <f t="shared" si="0"/>
        <v>0</v>
      </c>
      <c r="F25" s="332"/>
      <c r="G25" s="326"/>
    </row>
    <row r="26" spans="1:7" ht="15" x14ac:dyDescent="0.25">
      <c r="A26" s="923" t="s">
        <v>503</v>
      </c>
      <c r="B26" s="268"/>
      <c r="C26" s="268">
        <f>C5/2</f>
        <v>50</v>
      </c>
      <c r="D26" s="268">
        <f>C3*C4*C5*'SPOCZNIK - DANE'!K16/1000000</f>
        <v>15.625</v>
      </c>
      <c r="E26" s="270">
        <f t="shared" si="0"/>
        <v>781.25</v>
      </c>
      <c r="F26" s="332"/>
      <c r="G26" s="326"/>
    </row>
    <row r="27" spans="1:7" ht="15" x14ac:dyDescent="0.25">
      <c r="A27" s="923" t="s">
        <v>504</v>
      </c>
      <c r="B27" s="268"/>
      <c r="C27" s="268">
        <f>C20</f>
        <v>0</v>
      </c>
      <c r="D27" s="268">
        <f>C11*(C4-2*C8)*25*'SPOCZNIK - DANE'!K16/1000000</f>
        <v>0</v>
      </c>
      <c r="E27" s="270">
        <f>C27*D27</f>
        <v>0</v>
      </c>
      <c r="F27" s="332"/>
      <c r="G27" s="326"/>
    </row>
    <row r="28" spans="1:7" ht="15.75" thickBot="1" x14ac:dyDescent="0.3">
      <c r="A28" s="453" t="s">
        <v>505</v>
      </c>
      <c r="B28" s="333"/>
      <c r="C28" s="1162">
        <f>SUM(E24:E27)/SUM(D24:D27)</f>
        <v>50</v>
      </c>
      <c r="D28" s="1163"/>
      <c r="E28" s="1164"/>
      <c r="F28" s="454">
        <f>SUM(D24:D27)*1.35</f>
        <v>21.09375</v>
      </c>
      <c r="G28" s="326"/>
    </row>
    <row r="29" spans="1:7" ht="15.75" thickBot="1" x14ac:dyDescent="0.3">
      <c r="A29" s="1151" t="s">
        <v>506</v>
      </c>
      <c r="B29" s="1152"/>
      <c r="C29" s="1152"/>
      <c r="D29" s="1152"/>
      <c r="E29" s="1152"/>
      <c r="F29" s="1152"/>
      <c r="G29" s="1153"/>
    </row>
    <row r="30" spans="1:7" ht="15" x14ac:dyDescent="0.25">
      <c r="A30" s="1045" t="s">
        <v>507</v>
      </c>
      <c r="B30" s="1046"/>
      <c r="C30" s="1046"/>
      <c r="D30" s="1046"/>
      <c r="E30" s="1046"/>
      <c r="F30" s="448"/>
      <c r="G30" s="449"/>
    </row>
    <row r="31" spans="1:7" ht="15" x14ac:dyDescent="0.25">
      <c r="A31" s="278" t="s">
        <v>492</v>
      </c>
      <c r="B31" s="921" t="s">
        <v>493</v>
      </c>
      <c r="C31" s="921" t="s">
        <v>508</v>
      </c>
      <c r="D31" s="921"/>
      <c r="E31" s="265"/>
      <c r="F31" s="329" t="s">
        <v>509</v>
      </c>
      <c r="G31" s="326"/>
    </row>
    <row r="32" spans="1:7" ht="15" x14ac:dyDescent="0.25">
      <c r="A32" s="923" t="s">
        <v>510</v>
      </c>
      <c r="B32" s="268"/>
      <c r="C32" s="268">
        <f>IF('SPOCZNIK - DANE'!K25="Typ F",Lastermittlung_Podest!C7-5.15,0)</f>
        <v>7.85</v>
      </c>
      <c r="D32" s="268"/>
      <c r="E32" s="270"/>
      <c r="F32" s="327">
        <f>IF('SPOCZNIK - DANE'!K18=Texte_Sprachen!B164,'SPOCZNIK - DANE'!M20*2,'SPOCZNIK - DANE'!K20*2)</f>
        <v>118.1131655440135</v>
      </c>
      <c r="G32" s="326"/>
    </row>
    <row r="33" spans="1:7" ht="15" x14ac:dyDescent="0.25">
      <c r="A33" s="1038" t="s">
        <v>511</v>
      </c>
      <c r="B33" s="1039"/>
      <c r="C33" s="1039"/>
      <c r="D33" s="1039"/>
      <c r="E33" s="1039"/>
      <c r="F33" s="287" t="s">
        <v>63</v>
      </c>
      <c r="G33" s="326"/>
    </row>
    <row r="34" spans="1:7" ht="15" x14ac:dyDescent="0.25">
      <c r="A34" s="281" t="s">
        <v>512</v>
      </c>
      <c r="B34" s="275"/>
      <c r="C34" s="1154">
        <f>(C21*(F21+G21)+C28*F28+C32*F32)/(F21+G21+F28+F32)</f>
        <v>18.482102157198959</v>
      </c>
      <c r="D34" s="1155"/>
      <c r="E34" s="1156"/>
      <c r="F34" s="327">
        <f>(F28+F21+G21+F32)</f>
        <v>157.9569155440135</v>
      </c>
      <c r="G34" s="326" t="s">
        <v>185</v>
      </c>
    </row>
    <row r="35" spans="1:7" ht="15" x14ac:dyDescent="0.25">
      <c r="A35" s="1038" t="s">
        <v>92</v>
      </c>
      <c r="B35" s="1157"/>
      <c r="C35" s="1157"/>
      <c r="D35" s="1157"/>
      <c r="E35" s="1158"/>
      <c r="F35" s="267"/>
      <c r="G35" s="279"/>
    </row>
    <row r="36" spans="1:7" ht="15" x14ac:dyDescent="0.25">
      <c r="A36" s="450" t="s">
        <v>513</v>
      </c>
      <c r="B36" s="288"/>
      <c r="C36" s="1041">
        <f>F34-C37</f>
        <v>212.55697181620255</v>
      </c>
      <c r="D36" s="1041"/>
      <c r="E36" s="1041"/>
      <c r="F36" s="267"/>
      <c r="G36" s="279"/>
    </row>
    <row r="37" spans="1:7" ht="15.75" thickBot="1" x14ac:dyDescent="0.3">
      <c r="A37" s="451" t="s">
        <v>106</v>
      </c>
      <c r="B37" s="452"/>
      <c r="C37" s="1043">
        <f>((C34-C9)*F34)/(C5-C9-C10)</f>
        <v>-54.600056272189043</v>
      </c>
      <c r="D37" s="1043"/>
      <c r="E37" s="1043"/>
      <c r="F37" s="285"/>
      <c r="G37" s="286"/>
    </row>
    <row r="38" spans="1:7" ht="15.75" thickBot="1" x14ac:dyDescent="0.3">
      <c r="A38" s="1151" t="s">
        <v>514</v>
      </c>
      <c r="B38" s="1152"/>
      <c r="C38" s="1152"/>
      <c r="D38" s="1152"/>
      <c r="E38" s="1152"/>
      <c r="F38" s="1152"/>
      <c r="G38" s="1153"/>
    </row>
    <row r="39" spans="1:7" ht="15" x14ac:dyDescent="0.25">
      <c r="A39" s="1045" t="s">
        <v>515</v>
      </c>
      <c r="B39" s="1046"/>
      <c r="C39" s="1046"/>
      <c r="D39" s="1046"/>
      <c r="E39" s="1046"/>
      <c r="F39" s="448"/>
      <c r="G39" s="449"/>
    </row>
    <row r="40" spans="1:7" ht="15" x14ac:dyDescent="0.25">
      <c r="A40" s="278" t="s">
        <v>492</v>
      </c>
      <c r="B40" s="921" t="s">
        <v>493</v>
      </c>
      <c r="C40" s="264" t="s">
        <v>494</v>
      </c>
      <c r="D40" s="921" t="s">
        <v>516</v>
      </c>
      <c r="E40" s="265" t="s">
        <v>294</v>
      </c>
      <c r="F40" s="329" t="s">
        <v>509</v>
      </c>
      <c r="G40" s="326"/>
    </row>
    <row r="41" spans="1:7" ht="15" x14ac:dyDescent="0.25">
      <c r="A41" s="923" t="s">
        <v>510</v>
      </c>
      <c r="B41" s="268"/>
      <c r="C41" s="268">
        <f>IF('SPOCZNIK - DANE'!K25="Typ F",Lastermittlung_Podest!C7-5.15,0)</f>
        <v>7.85</v>
      </c>
      <c r="D41" s="268"/>
      <c r="E41" s="270"/>
      <c r="F41" s="327">
        <f>IF('SPOCZNIK - DANE'!K18=Texte_Sprachen!B164,'SPOCZNIK - DANE'!M21*2,'SPOCZNIK - DANE'!K21*2)</f>
        <v>56.002344847417383</v>
      </c>
      <c r="G41" s="326"/>
    </row>
    <row r="42" spans="1:7" ht="15" x14ac:dyDescent="0.25">
      <c r="A42" s="1038" t="s">
        <v>511</v>
      </c>
      <c r="B42" s="1039"/>
      <c r="C42" s="1039"/>
      <c r="D42" s="1039"/>
      <c r="E42" s="1039"/>
      <c r="F42" s="287" t="s">
        <v>63</v>
      </c>
      <c r="G42" s="326"/>
    </row>
    <row r="43" spans="1:7" ht="15" x14ac:dyDescent="0.25">
      <c r="A43" s="281" t="s">
        <v>512</v>
      </c>
      <c r="B43" s="275"/>
      <c r="C43" s="1154">
        <f>(C21*F21/1.35+C28*F28/1.35+C41*F41)/((F21+F28)/1.35+F41)</f>
        <v>17.044725162617087</v>
      </c>
      <c r="D43" s="1155"/>
      <c r="E43" s="1156"/>
      <c r="F43" s="327">
        <f>(F28+F21)/1.35+F41</f>
        <v>71.627344847417376</v>
      </c>
      <c r="G43" s="326" t="s">
        <v>185</v>
      </c>
    </row>
    <row r="44" spans="1:7" ht="15" x14ac:dyDescent="0.25">
      <c r="A44" s="1038" t="s">
        <v>92</v>
      </c>
      <c r="B44" s="1157"/>
      <c r="C44" s="1157"/>
      <c r="D44" s="1157"/>
      <c r="E44" s="1158"/>
      <c r="F44" s="267"/>
      <c r="G44" s="279"/>
    </row>
    <row r="45" spans="1:7" ht="15" x14ac:dyDescent="0.25">
      <c r="A45" s="450" t="s">
        <v>513</v>
      </c>
      <c r="B45" s="288"/>
      <c r="C45" s="1041">
        <f>F43-C46</f>
        <v>98.837677535811352</v>
      </c>
      <c r="D45" s="1041"/>
      <c r="E45" s="1041"/>
      <c r="F45" s="267"/>
      <c r="G45" s="279"/>
    </row>
    <row r="46" spans="1:7" ht="15.75" thickBot="1" x14ac:dyDescent="0.3">
      <c r="A46" s="451" t="s">
        <v>106</v>
      </c>
      <c r="B46" s="452"/>
      <c r="C46" s="1043">
        <f>((C43-C9)*F43)/(C5-C9-C10)</f>
        <v>-27.210332688393979</v>
      </c>
      <c r="D46" s="1043"/>
      <c r="E46" s="1043"/>
      <c r="F46" s="285"/>
      <c r="G46" s="286"/>
    </row>
    <row r="47" spans="1:7" x14ac:dyDescent="0.2">
      <c r="A47" s="282"/>
      <c r="B47" s="266"/>
      <c r="C47" s="266"/>
      <c r="D47" s="266"/>
      <c r="E47" s="266"/>
      <c r="F47" s="267"/>
      <c r="G47" s="279"/>
    </row>
    <row r="48" spans="1:7" ht="15" thickBot="1" x14ac:dyDescent="0.25">
      <c r="A48" s="283"/>
      <c r="B48" s="284"/>
      <c r="C48" s="284"/>
      <c r="D48" s="284"/>
      <c r="E48" s="284"/>
      <c r="F48" s="285"/>
      <c r="G48" s="286"/>
    </row>
  </sheetData>
  <mergeCells count="21">
    <mergeCell ref="F17:G17"/>
    <mergeCell ref="A33:E33"/>
    <mergeCell ref="A30:E30"/>
    <mergeCell ref="A1:E1"/>
    <mergeCell ref="A17:E17"/>
    <mergeCell ref="A12:E12"/>
    <mergeCell ref="A22:E22"/>
    <mergeCell ref="C28:E28"/>
    <mergeCell ref="C21:E21"/>
    <mergeCell ref="C46:E46"/>
    <mergeCell ref="A29:G29"/>
    <mergeCell ref="A38:G38"/>
    <mergeCell ref="A39:E39"/>
    <mergeCell ref="A42:E42"/>
    <mergeCell ref="C43:E43"/>
    <mergeCell ref="A44:E44"/>
    <mergeCell ref="C45:E45"/>
    <mergeCell ref="C34:E34"/>
    <mergeCell ref="A35:E35"/>
    <mergeCell ref="C36:E36"/>
    <mergeCell ref="C37:E37"/>
  </mergeCells>
  <pageMargins left="0.7" right="0.7" top="0.78740157499999996" bottom="0.78740157499999996" header="0.3" footer="0.3"/>
  <customProperties>
    <customPr name="_pios_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BC03E-E90D-402C-A584-FA0E615552E2}">
  <sheetPr codeName="Tabelle8"/>
  <dimension ref="A1:M60"/>
  <sheetViews>
    <sheetView workbookViewId="0">
      <selection activeCell="F148" sqref="F148"/>
    </sheetView>
  </sheetViews>
  <sheetFormatPr baseColWidth="10" defaultColWidth="11.42578125" defaultRowHeight="15" x14ac:dyDescent="0.25"/>
  <cols>
    <col min="1" max="2" width="11.42578125" style="437"/>
    <col min="3" max="3" width="15.140625" style="437" customWidth="1"/>
    <col min="4" max="4" width="15.7109375" style="437" customWidth="1"/>
    <col min="5" max="6" width="11.42578125" style="437"/>
    <col min="7" max="9" width="11.42578125" style="437" customWidth="1"/>
    <col min="10" max="12" width="11.42578125" style="437"/>
    <col min="13" max="13" width="24.140625" style="437" customWidth="1"/>
    <col min="17" max="17" width="16.7109375" bestFit="1" customWidth="1"/>
    <col min="18" max="18" width="13.28515625" bestFit="1" customWidth="1"/>
  </cols>
  <sheetData>
    <row r="1" spans="1:13" x14ac:dyDescent="0.25">
      <c r="A1" s="341" t="s">
        <v>317</v>
      </c>
      <c r="B1" s="342"/>
      <c r="C1" s="343"/>
      <c r="D1" s="343"/>
      <c r="E1" s="343"/>
      <c r="F1" s="343"/>
      <c r="G1" s="343"/>
      <c r="H1" s="343"/>
      <c r="I1" s="343"/>
      <c r="J1" s="343"/>
      <c r="K1" s="343"/>
      <c r="L1" s="343"/>
      <c r="M1" s="344"/>
    </row>
    <row r="2" spans="1:13" ht="15.75" x14ac:dyDescent="0.3">
      <c r="A2" s="345"/>
      <c r="B2" s="346" t="s">
        <v>318</v>
      </c>
      <c r="C2" s="347" t="s">
        <v>57</v>
      </c>
      <c r="D2" s="348" t="s">
        <v>319</v>
      </c>
      <c r="E2" s="348"/>
      <c r="F2" s="349">
        <v>25</v>
      </c>
      <c r="G2" s="350" t="s">
        <v>320</v>
      </c>
      <c r="H2" s="347" t="s">
        <v>321</v>
      </c>
      <c r="I2" s="351"/>
      <c r="J2" s="348" t="s">
        <v>517</v>
      </c>
      <c r="K2" s="348"/>
      <c r="L2" s="350">
        <v>1.35</v>
      </c>
      <c r="M2" s="352"/>
    </row>
    <row r="3" spans="1:13" ht="15.75" x14ac:dyDescent="0.3">
      <c r="A3" s="345"/>
      <c r="B3" s="347"/>
      <c r="C3" s="351"/>
      <c r="D3" s="348" t="s">
        <v>518</v>
      </c>
      <c r="E3" s="348"/>
      <c r="F3" s="353">
        <f>'SPOCZNIK - DANE'!K14</f>
        <v>0</v>
      </c>
      <c r="G3" s="350" t="s">
        <v>323</v>
      </c>
      <c r="H3" s="351"/>
      <c r="I3" s="351"/>
      <c r="J3" s="348" t="s">
        <v>519</v>
      </c>
      <c r="K3" s="348"/>
      <c r="L3" s="350">
        <v>1.5</v>
      </c>
      <c r="M3" s="352"/>
    </row>
    <row r="4" spans="1:13" x14ac:dyDescent="0.25">
      <c r="A4" s="345"/>
      <c r="B4" s="347"/>
      <c r="C4" s="351"/>
      <c r="D4" s="348" t="s">
        <v>59</v>
      </c>
      <c r="E4" s="348"/>
      <c r="F4" s="353">
        <f>'SPOCZNIK - DANE'!K15</f>
        <v>5</v>
      </c>
      <c r="G4" s="350" t="s">
        <v>323</v>
      </c>
      <c r="H4" s="354"/>
      <c r="I4" s="354"/>
      <c r="J4" s="354"/>
      <c r="K4" s="354"/>
      <c r="L4" s="354"/>
      <c r="M4" s="355"/>
    </row>
    <row r="5" spans="1:13" ht="15" customHeight="1" x14ac:dyDescent="0.25">
      <c r="A5" s="356"/>
      <c r="B5" s="357" t="s">
        <v>186</v>
      </c>
      <c r="C5" s="358" t="s">
        <v>44</v>
      </c>
      <c r="D5" s="359" t="str">
        <f>'SPOCZNIK - DANE'!C18</f>
        <v>Długość spocznika</v>
      </c>
      <c r="E5" s="360" t="s">
        <v>187</v>
      </c>
      <c r="F5" s="361">
        <f>'SPOCZNIK - DANE'!E18</f>
        <v>250</v>
      </c>
      <c r="G5" s="362" t="s">
        <v>188</v>
      </c>
      <c r="H5" s="351"/>
      <c r="I5" s="351"/>
      <c r="J5" s="366" t="s">
        <v>520</v>
      </c>
      <c r="K5" s="367"/>
      <c r="L5" s="368">
        <f>Lastermittlung_Podest!F32</f>
        <v>118.1131655440135</v>
      </c>
      <c r="M5" s="369" t="s">
        <v>185</v>
      </c>
    </row>
    <row r="6" spans="1:13" x14ac:dyDescent="0.25">
      <c r="A6" s="345"/>
      <c r="B6" s="347"/>
      <c r="C6" s="351"/>
      <c r="D6" s="363" t="str">
        <f>'SPOCZNIK - DANE'!C19</f>
        <v>Szerokość spocznika</v>
      </c>
      <c r="E6" s="348" t="s">
        <v>199</v>
      </c>
      <c r="F6" s="353">
        <f>'SPOCZNIK - DANE'!E19</f>
        <v>100</v>
      </c>
      <c r="G6" s="364" t="s">
        <v>188</v>
      </c>
      <c r="H6" s="351"/>
      <c r="I6" s="351"/>
      <c r="J6" s="440"/>
      <c r="K6" s="441"/>
      <c r="L6" s="442"/>
      <c r="M6" s="439"/>
    </row>
    <row r="7" spans="1:13" ht="15.75" x14ac:dyDescent="0.3">
      <c r="A7" s="345"/>
      <c r="B7" s="347"/>
      <c r="C7" s="351"/>
      <c r="D7" s="363" t="str">
        <f>'SPOCZNIK - DANE'!C21</f>
        <v>Krawędź z przodu</v>
      </c>
      <c r="E7" s="348" t="s">
        <v>521</v>
      </c>
      <c r="F7" s="353">
        <f>'SPOCZNIK - DANE'!E21</f>
        <v>33</v>
      </c>
      <c r="G7" s="365" t="s">
        <v>188</v>
      </c>
      <c r="H7" s="351"/>
      <c r="I7" s="351"/>
      <c r="J7" s="370"/>
      <c r="K7" s="370"/>
      <c r="L7" s="370"/>
      <c r="M7" s="371"/>
    </row>
    <row r="8" spans="1:13" ht="15.75" x14ac:dyDescent="0.3">
      <c r="A8" s="345"/>
      <c r="B8" s="347"/>
      <c r="C8" s="351"/>
      <c r="D8" s="363" t="str">
        <f>'SPOCZNIK - DANE'!C22</f>
        <v>Krawędź z tyłu</v>
      </c>
      <c r="E8" s="348" t="s">
        <v>522</v>
      </c>
      <c r="F8" s="353">
        <f>'SPOCZNIK - DANE'!E22</f>
        <v>25</v>
      </c>
      <c r="G8" s="365" t="s">
        <v>188</v>
      </c>
      <c r="H8" s="351"/>
      <c r="I8" s="351"/>
      <c r="J8" s="351"/>
      <c r="K8" s="351"/>
      <c r="L8" s="351"/>
      <c r="M8" s="372"/>
    </row>
    <row r="9" spans="1:13" ht="15.75" x14ac:dyDescent="0.3">
      <c r="A9" s="345"/>
      <c r="B9" s="347"/>
      <c r="C9" s="351"/>
      <c r="D9" s="363" t="s">
        <v>523</v>
      </c>
      <c r="E9" s="348" t="s">
        <v>524</v>
      </c>
      <c r="F9" s="353">
        <f>F6-F7-F8</f>
        <v>42</v>
      </c>
      <c r="G9" s="365" t="s">
        <v>188</v>
      </c>
      <c r="H9" s="351"/>
      <c r="I9" s="351"/>
      <c r="J9" s="351"/>
      <c r="K9" s="351"/>
      <c r="L9" s="351"/>
      <c r="M9" s="372"/>
    </row>
    <row r="10" spans="1:13" x14ac:dyDescent="0.25">
      <c r="A10" s="345"/>
      <c r="B10" s="347"/>
      <c r="C10" s="351"/>
      <c r="D10" s="363" t="str">
        <f>'SPOCZNIK - DANE'!C23</f>
        <v>Grubość spocznika</v>
      </c>
      <c r="E10" s="348" t="s">
        <v>465</v>
      </c>
      <c r="F10" s="353">
        <f>'SPOCZNIK - DANE'!E23</f>
        <v>25</v>
      </c>
      <c r="G10" s="365" t="s">
        <v>188</v>
      </c>
      <c r="H10" s="351"/>
      <c r="I10" s="351"/>
      <c r="J10" s="351"/>
      <c r="K10" s="351"/>
      <c r="L10" s="351"/>
      <c r="M10" s="372"/>
    </row>
    <row r="11" spans="1:13" x14ac:dyDescent="0.25">
      <c r="A11" s="345"/>
      <c r="B11" s="347"/>
      <c r="C11" s="351"/>
      <c r="D11" s="363" t="str">
        <f>'SPOCZNIK - DANE'!C24</f>
        <v>Szerokość dylatacji</v>
      </c>
      <c r="E11" s="348"/>
      <c r="F11" s="353">
        <f>'SPOCZNIK - DANE'!E24</f>
        <v>5</v>
      </c>
      <c r="G11" s="365" t="s">
        <v>188</v>
      </c>
      <c r="H11" s="351"/>
      <c r="I11" s="351"/>
      <c r="J11" s="351"/>
      <c r="K11" s="351"/>
      <c r="L11" s="351"/>
      <c r="M11" s="372"/>
    </row>
    <row r="12" spans="1:13" x14ac:dyDescent="0.25">
      <c r="A12" s="373"/>
      <c r="B12" s="374"/>
      <c r="C12" s="354"/>
      <c r="D12" s="375"/>
      <c r="E12" s="376"/>
      <c r="F12" s="377"/>
      <c r="G12" s="378"/>
      <c r="H12" s="354"/>
      <c r="I12" s="354"/>
      <c r="J12" s="354"/>
      <c r="K12" s="354"/>
      <c r="L12" s="354"/>
      <c r="M12" s="355"/>
    </row>
    <row r="13" spans="1:13" x14ac:dyDescent="0.25">
      <c r="A13" s="379"/>
      <c r="B13" s="346" t="s">
        <v>181</v>
      </c>
      <c r="C13" s="347" t="s">
        <v>525</v>
      </c>
      <c r="D13" s="351"/>
      <c r="E13" s="335"/>
      <c r="F13" s="351"/>
      <c r="G13" s="351"/>
      <c r="H13" s="335"/>
      <c r="I13" s="335"/>
      <c r="J13" s="351"/>
      <c r="K13" s="351"/>
      <c r="L13" s="351"/>
      <c r="M13" s="372"/>
    </row>
    <row r="14" spans="1:13" x14ac:dyDescent="0.25">
      <c r="A14" s="379"/>
      <c r="B14" s="351"/>
      <c r="C14" s="21" t="s">
        <v>526</v>
      </c>
      <c r="D14" s="348" t="s">
        <v>527</v>
      </c>
      <c r="E14" s="336"/>
      <c r="F14" s="348"/>
      <c r="G14" s="348"/>
      <c r="H14" s="336"/>
      <c r="I14" s="336"/>
      <c r="J14" s="348"/>
      <c r="K14" s="348"/>
      <c r="L14" s="348"/>
      <c r="M14" s="380"/>
    </row>
    <row r="15" spans="1:13" x14ac:dyDescent="0.25">
      <c r="A15" s="381"/>
      <c r="B15" s="354"/>
      <c r="C15" s="337"/>
      <c r="D15" s="382">
        <f>Lastermittlung_Podest!F28</f>
        <v>21.09375</v>
      </c>
      <c r="E15" s="26" t="s">
        <v>185</v>
      </c>
      <c r="F15" s="383"/>
      <c r="G15" s="383"/>
      <c r="H15" s="338"/>
      <c r="I15" s="338"/>
      <c r="J15" s="383"/>
      <c r="K15" s="383"/>
      <c r="L15" s="383"/>
      <c r="M15" s="384"/>
    </row>
    <row r="16" spans="1:13" x14ac:dyDescent="0.25">
      <c r="A16" s="379"/>
      <c r="B16" s="346" t="s">
        <v>191</v>
      </c>
      <c r="C16" s="347" t="s">
        <v>58</v>
      </c>
      <c r="D16" s="351"/>
      <c r="E16" s="335"/>
      <c r="F16" s="351"/>
      <c r="G16" s="351"/>
      <c r="H16" s="335"/>
      <c r="I16" s="335"/>
      <c r="J16" s="351"/>
      <c r="K16" s="351"/>
      <c r="L16" s="351"/>
      <c r="M16" s="372"/>
    </row>
    <row r="17" spans="1:13" x14ac:dyDescent="0.25">
      <c r="A17" s="379"/>
      <c r="B17" s="351"/>
      <c r="C17" s="21" t="s">
        <v>528</v>
      </c>
      <c r="D17" s="348" t="s">
        <v>529</v>
      </c>
      <c r="E17" s="336"/>
      <c r="F17" s="348"/>
      <c r="G17" s="348"/>
      <c r="H17" s="336"/>
      <c r="I17" s="336"/>
      <c r="J17" s="348"/>
      <c r="K17" s="348"/>
      <c r="L17" s="348"/>
      <c r="M17" s="380"/>
    </row>
    <row r="18" spans="1:13" x14ac:dyDescent="0.25">
      <c r="A18" s="381"/>
      <c r="B18" s="354"/>
      <c r="C18" s="337"/>
      <c r="D18" s="27">
        <f>Lastermittlung_Podest!F21</f>
        <v>0</v>
      </c>
      <c r="E18" s="26" t="s">
        <v>185</v>
      </c>
      <c r="F18" s="338"/>
      <c r="G18" s="338"/>
      <c r="H18" s="338"/>
      <c r="I18" s="338"/>
      <c r="J18" s="383"/>
      <c r="K18" s="383"/>
      <c r="L18" s="383"/>
      <c r="M18" s="384"/>
    </row>
    <row r="19" spans="1:13" x14ac:dyDescent="0.25">
      <c r="A19" s="379"/>
      <c r="B19" s="346" t="s">
        <v>530</v>
      </c>
      <c r="C19" s="347" t="s">
        <v>59</v>
      </c>
      <c r="D19" s="339"/>
      <c r="E19" s="335"/>
      <c r="F19" s="335"/>
      <c r="G19" s="335"/>
      <c r="H19" s="351"/>
      <c r="I19" s="335"/>
      <c r="J19" s="351"/>
      <c r="K19" s="351"/>
      <c r="L19" s="351"/>
      <c r="M19" s="372"/>
    </row>
    <row r="20" spans="1:13" x14ac:dyDescent="0.25">
      <c r="A20" s="379"/>
      <c r="B20" s="351"/>
      <c r="C20" s="21" t="s">
        <v>531</v>
      </c>
      <c r="D20" s="340" t="s">
        <v>532</v>
      </c>
      <c r="E20" s="336"/>
      <c r="F20" s="336"/>
      <c r="G20" s="336"/>
      <c r="H20" s="348"/>
      <c r="I20" s="336"/>
      <c r="J20" s="348"/>
      <c r="K20" s="348"/>
      <c r="L20" s="348"/>
      <c r="M20" s="380"/>
    </row>
    <row r="21" spans="1:13" x14ac:dyDescent="0.25">
      <c r="A21" s="381"/>
      <c r="B21" s="354"/>
      <c r="C21" s="385"/>
      <c r="D21" s="27">
        <f>Lastermittlung_Podest!G21</f>
        <v>18.75</v>
      </c>
      <c r="E21" s="26" t="s">
        <v>185</v>
      </c>
      <c r="F21" s="338"/>
      <c r="G21" s="338"/>
      <c r="H21" s="383"/>
      <c r="I21" s="338"/>
      <c r="J21" s="383"/>
      <c r="K21" s="383"/>
      <c r="L21" s="383"/>
      <c r="M21" s="384"/>
    </row>
    <row r="22" spans="1:13" x14ac:dyDescent="0.25">
      <c r="A22" s="379"/>
      <c r="B22" s="346" t="s">
        <v>341</v>
      </c>
      <c r="C22" s="347" t="s">
        <v>533</v>
      </c>
      <c r="D22" s="49"/>
      <c r="E22" s="50"/>
      <c r="F22" s="335"/>
      <c r="G22" s="335"/>
      <c r="H22" s="335"/>
      <c r="I22" s="335"/>
      <c r="J22" s="351"/>
      <c r="K22" s="351"/>
      <c r="L22" s="351"/>
      <c r="M22" s="372"/>
    </row>
    <row r="23" spans="1:13" x14ac:dyDescent="0.25">
      <c r="A23" s="379"/>
      <c r="B23" s="351"/>
      <c r="C23" s="438" t="s">
        <v>449</v>
      </c>
      <c r="D23" s="340"/>
      <c r="E23" s="23"/>
      <c r="F23" s="336"/>
      <c r="G23" s="336"/>
      <c r="H23" s="336"/>
      <c r="I23" s="336"/>
      <c r="J23" s="348"/>
      <c r="K23" s="348"/>
      <c r="L23" s="348"/>
      <c r="M23" s="380"/>
    </row>
    <row r="24" spans="1:13" x14ac:dyDescent="0.25">
      <c r="A24" s="381"/>
      <c r="B24" s="354"/>
      <c r="C24" s="385"/>
      <c r="D24" s="27">
        <f>Lastermittlung_Podest!F32</f>
        <v>118.1131655440135</v>
      </c>
      <c r="E24" s="26" t="s">
        <v>185</v>
      </c>
      <c r="F24" s="338"/>
      <c r="G24" s="338"/>
      <c r="H24" s="338"/>
      <c r="I24" s="338"/>
      <c r="J24" s="383"/>
      <c r="K24" s="383"/>
      <c r="L24" s="383"/>
      <c r="M24" s="384"/>
    </row>
    <row r="25" spans="1:13" x14ac:dyDescent="0.25">
      <c r="A25" s="379"/>
      <c r="B25" s="346" t="s">
        <v>341</v>
      </c>
      <c r="C25" s="347" t="s">
        <v>137</v>
      </c>
      <c r="D25" s="49"/>
      <c r="E25" s="50"/>
      <c r="F25" s="335"/>
      <c r="G25" s="335"/>
      <c r="H25" s="335"/>
      <c r="I25" s="335"/>
      <c r="J25" s="351"/>
      <c r="K25" s="351"/>
      <c r="L25" s="351"/>
      <c r="M25" s="372"/>
    </row>
    <row r="26" spans="1:13" x14ac:dyDescent="0.25">
      <c r="A26" s="379"/>
      <c r="B26" s="351"/>
      <c r="C26" s="21" t="s">
        <v>342</v>
      </c>
      <c r="D26" s="340" t="s">
        <v>534</v>
      </c>
      <c r="E26" s="23"/>
      <c r="F26" s="336"/>
      <c r="G26" s="336"/>
      <c r="H26" s="336"/>
      <c r="I26" s="336"/>
      <c r="J26" s="348"/>
      <c r="K26" s="348"/>
      <c r="L26" s="348"/>
      <c r="M26" s="380"/>
    </row>
    <row r="27" spans="1:13" x14ac:dyDescent="0.25">
      <c r="A27" s="381"/>
      <c r="B27" s="354"/>
      <c r="C27" s="385"/>
      <c r="D27" s="27">
        <f>D15+D18+D21+D24</f>
        <v>157.9569155440135</v>
      </c>
      <c r="E27" s="26" t="s">
        <v>185</v>
      </c>
      <c r="F27" s="338"/>
      <c r="G27" s="338"/>
      <c r="H27" s="338"/>
      <c r="I27" s="338"/>
      <c r="J27" s="383"/>
      <c r="K27" s="383"/>
      <c r="L27" s="383"/>
      <c r="M27" s="384"/>
    </row>
    <row r="28" spans="1:13" x14ac:dyDescent="0.25">
      <c r="A28" s="379"/>
      <c r="B28" s="346" t="s">
        <v>344</v>
      </c>
      <c r="C28" s="347" t="s">
        <v>535</v>
      </c>
      <c r="D28" s="49"/>
      <c r="E28" s="50"/>
      <c r="F28" s="335"/>
      <c r="G28" s="335"/>
      <c r="H28" s="335"/>
      <c r="I28" s="335"/>
      <c r="J28" s="351"/>
      <c r="K28" s="351"/>
      <c r="L28" s="351"/>
      <c r="M28" s="372"/>
    </row>
    <row r="29" spans="1:13" x14ac:dyDescent="0.25">
      <c r="A29" s="379"/>
      <c r="B29" s="346"/>
      <c r="C29" s="21" t="s">
        <v>536</v>
      </c>
      <c r="D29" s="340"/>
      <c r="E29" s="23"/>
      <c r="F29" s="335"/>
      <c r="G29" s="335"/>
      <c r="H29" s="335"/>
      <c r="I29" s="335"/>
      <c r="J29" s="351"/>
      <c r="K29" s="351"/>
      <c r="L29" s="351"/>
      <c r="M29" s="372"/>
    </row>
    <row r="30" spans="1:13" x14ac:dyDescent="0.25">
      <c r="A30" s="379"/>
      <c r="B30" s="346"/>
      <c r="C30" s="385"/>
      <c r="D30" s="27">
        <f>Lastermittlung_Podest!C36</f>
        <v>212.55697181620255</v>
      </c>
      <c r="E30" s="26" t="s">
        <v>185</v>
      </c>
      <c r="F30" s="335"/>
      <c r="G30" s="335"/>
      <c r="H30" s="335"/>
      <c r="I30" s="335"/>
      <c r="J30" s="351"/>
      <c r="K30" s="351"/>
      <c r="L30" s="351"/>
      <c r="M30" s="372"/>
    </row>
    <row r="31" spans="1:13" x14ac:dyDescent="0.25">
      <c r="A31" s="379"/>
      <c r="B31" s="351"/>
      <c r="C31" s="21" t="s">
        <v>537</v>
      </c>
      <c r="D31" s="340"/>
      <c r="E31" s="23"/>
      <c r="F31" s="336"/>
      <c r="G31" s="336"/>
      <c r="H31" s="336"/>
      <c r="I31" s="336"/>
      <c r="J31" s="348"/>
      <c r="K31" s="348"/>
      <c r="L31" s="348"/>
      <c r="M31" s="380"/>
    </row>
    <row r="32" spans="1:13" x14ac:dyDescent="0.25">
      <c r="A32" s="381"/>
      <c r="B32" s="354"/>
      <c r="C32" s="385"/>
      <c r="D32" s="27">
        <f>Lastermittlung_Podest!C37</f>
        <v>-54.600056272189043</v>
      </c>
      <c r="E32" s="26" t="s">
        <v>185</v>
      </c>
      <c r="F32" s="338"/>
      <c r="G32" s="338"/>
      <c r="H32" s="338"/>
      <c r="I32" s="338"/>
      <c r="J32" s="383"/>
      <c r="K32" s="383"/>
      <c r="L32" s="383"/>
      <c r="M32" s="384"/>
    </row>
    <row r="33" spans="1:13" x14ac:dyDescent="0.25">
      <c r="A33" s="356" t="s">
        <v>538</v>
      </c>
      <c r="B33" s="358"/>
      <c r="C33" s="370"/>
      <c r="D33" s="370"/>
      <c r="E33" s="370"/>
      <c r="F33" s="370"/>
      <c r="G33" s="370"/>
      <c r="H33" s="370"/>
      <c r="I33" s="370"/>
      <c r="J33" s="370"/>
      <c r="K33" s="370"/>
      <c r="L33" s="370"/>
      <c r="M33" s="371"/>
    </row>
    <row r="34" spans="1:13" ht="15.75" thickBot="1" x14ac:dyDescent="0.3">
      <c r="A34" s="345"/>
      <c r="B34" s="386" t="s">
        <v>208</v>
      </c>
      <c r="C34" s="387" t="s">
        <v>539</v>
      </c>
      <c r="D34" s="351"/>
      <c r="E34" s="351"/>
      <c r="F34" s="351"/>
      <c r="G34" s="351"/>
      <c r="H34" s="351"/>
      <c r="I34" s="351"/>
      <c r="J34" s="351"/>
      <c r="K34" s="351"/>
      <c r="L34" s="351"/>
      <c r="M34" s="372"/>
    </row>
    <row r="35" spans="1:13" x14ac:dyDescent="0.25">
      <c r="A35" s="379"/>
      <c r="B35" s="351"/>
      <c r="C35" s="1168" t="s">
        <v>421</v>
      </c>
      <c r="D35" s="1169"/>
      <c r="E35" s="1169"/>
      <c r="F35" s="1169"/>
      <c r="G35" s="1169"/>
      <c r="H35" s="1170"/>
      <c r="I35" s="351"/>
      <c r="J35" s="351"/>
      <c r="K35" s="351"/>
      <c r="L35" s="351"/>
      <c r="M35" s="372"/>
    </row>
    <row r="36" spans="1:13" ht="15.75" thickBot="1" x14ac:dyDescent="0.3">
      <c r="A36" s="379"/>
      <c r="B36" s="351"/>
      <c r="C36" s="1171" t="s">
        <v>540</v>
      </c>
      <c r="D36" s="1172"/>
      <c r="E36" s="1172"/>
      <c r="F36" s="1172"/>
      <c r="G36" s="1172"/>
      <c r="H36" s="1173"/>
      <c r="I36" s="351"/>
      <c r="J36" s="351"/>
      <c r="K36" s="351"/>
      <c r="L36" s="351"/>
      <c r="M36" s="372"/>
    </row>
    <row r="37" spans="1:13" ht="26.25" x14ac:dyDescent="0.25">
      <c r="A37" s="379"/>
      <c r="B37" s="351"/>
      <c r="C37" s="388" t="s">
        <v>423</v>
      </c>
      <c r="D37" s="388" t="s">
        <v>424</v>
      </c>
      <c r="E37" s="1168" t="s">
        <v>43</v>
      </c>
      <c r="F37" s="1169"/>
      <c r="G37" s="1169"/>
      <c r="H37" s="1170"/>
      <c r="I37" s="351"/>
      <c r="J37" s="351"/>
      <c r="K37" s="351"/>
      <c r="L37" s="351"/>
      <c r="M37" s="372"/>
    </row>
    <row r="38" spans="1:13" ht="27" thickBot="1" x14ac:dyDescent="0.3">
      <c r="A38" s="379"/>
      <c r="B38" s="351"/>
      <c r="C38" s="389" t="s">
        <v>425</v>
      </c>
      <c r="D38" s="389" t="s">
        <v>425</v>
      </c>
      <c r="E38" s="390" t="s">
        <v>412</v>
      </c>
      <c r="F38" s="391" t="s">
        <v>426</v>
      </c>
      <c r="G38" s="391" t="s">
        <v>386</v>
      </c>
      <c r="H38" s="392" t="s">
        <v>427</v>
      </c>
      <c r="I38" s="351"/>
      <c r="J38" s="351"/>
      <c r="K38" s="351"/>
      <c r="L38" s="351"/>
      <c r="M38" s="372"/>
    </row>
    <row r="39" spans="1:13" x14ac:dyDescent="0.25">
      <c r="A39" s="379"/>
      <c r="B39" s="351"/>
      <c r="C39" s="393">
        <v>10</v>
      </c>
      <c r="D39" s="394"/>
      <c r="E39" s="395">
        <v>58.07</v>
      </c>
      <c r="F39" s="396">
        <v>61.57</v>
      </c>
      <c r="G39" s="396">
        <v>65.069999999999993</v>
      </c>
      <c r="H39" s="397">
        <v>68.11</v>
      </c>
      <c r="I39" s="351"/>
      <c r="J39" s="351"/>
      <c r="K39" s="351"/>
      <c r="L39" s="351"/>
      <c r="M39" s="372"/>
    </row>
    <row r="40" spans="1:13" x14ac:dyDescent="0.25">
      <c r="A40" s="379"/>
      <c r="B40" s="351"/>
      <c r="C40" s="398">
        <v>20</v>
      </c>
      <c r="D40" s="398"/>
      <c r="E40" s="399">
        <v>55.97</v>
      </c>
      <c r="F40" s="400">
        <v>59.34</v>
      </c>
      <c r="G40" s="400">
        <v>62.12</v>
      </c>
      <c r="H40" s="401">
        <v>62.12</v>
      </c>
      <c r="I40" s="351"/>
      <c r="J40" s="351"/>
      <c r="K40" s="351"/>
      <c r="L40" s="351"/>
      <c r="M40" s="372"/>
    </row>
    <row r="41" spans="1:13" x14ac:dyDescent="0.25">
      <c r="A41" s="379"/>
      <c r="B41" s="351"/>
      <c r="C41" s="398">
        <v>30</v>
      </c>
      <c r="D41" s="398"/>
      <c r="E41" s="399">
        <v>54.01</v>
      </c>
      <c r="F41" s="400">
        <v>56.76</v>
      </c>
      <c r="G41" s="400">
        <v>56.76</v>
      </c>
      <c r="H41" s="401">
        <v>56.77</v>
      </c>
      <c r="I41" s="351"/>
      <c r="J41" s="351"/>
      <c r="K41" s="351"/>
      <c r="L41" s="351"/>
      <c r="M41" s="372"/>
    </row>
    <row r="42" spans="1:13" ht="15.75" thickBot="1" x14ac:dyDescent="0.3">
      <c r="A42" s="379"/>
      <c r="B42" s="351"/>
      <c r="C42" s="398">
        <v>40</v>
      </c>
      <c r="D42" s="398"/>
      <c r="E42" s="399">
        <v>52.07</v>
      </c>
      <c r="F42" s="400">
        <v>52.07</v>
      </c>
      <c r="G42" s="400">
        <v>52.07</v>
      </c>
      <c r="H42" s="401">
        <v>52.09</v>
      </c>
      <c r="I42" s="351"/>
      <c r="J42" s="351"/>
      <c r="K42" s="351"/>
      <c r="L42" s="351"/>
      <c r="M42" s="372"/>
    </row>
    <row r="43" spans="1:13" x14ac:dyDescent="0.25">
      <c r="A43" s="379"/>
      <c r="B43" s="351"/>
      <c r="C43" s="398">
        <v>50</v>
      </c>
      <c r="D43" s="398"/>
      <c r="E43" s="399">
        <v>48.09</v>
      </c>
      <c r="F43" s="400">
        <v>48.09</v>
      </c>
      <c r="G43" s="400">
        <v>48.09</v>
      </c>
      <c r="H43" s="401">
        <v>48.11</v>
      </c>
      <c r="I43" s="351"/>
      <c r="J43" s="351"/>
      <c r="K43" s="351"/>
      <c r="L43" s="402" t="s">
        <v>429</v>
      </c>
      <c r="M43" s="403"/>
    </row>
    <row r="44" spans="1:13" ht="15.75" thickBot="1" x14ac:dyDescent="0.3">
      <c r="A44" s="379"/>
      <c r="B44" s="351"/>
      <c r="C44" s="398"/>
      <c r="D44" s="398">
        <v>10</v>
      </c>
      <c r="E44" s="399">
        <v>65.069999999999993</v>
      </c>
      <c r="F44" s="400">
        <v>65.069999999999993</v>
      </c>
      <c r="G44" s="400">
        <v>65.069999999999993</v>
      </c>
      <c r="H44" s="401">
        <v>68.11</v>
      </c>
      <c r="I44" s="351"/>
      <c r="J44" s="351"/>
      <c r="K44" s="351"/>
      <c r="L44" s="404">
        <f>ROUNDUP('SPOCZNIK - DANE'!E24,0)*10</f>
        <v>50</v>
      </c>
      <c r="M44" s="352" t="s">
        <v>338</v>
      </c>
    </row>
    <row r="45" spans="1:13" x14ac:dyDescent="0.25">
      <c r="A45" s="379"/>
      <c r="B45" s="351"/>
      <c r="C45" s="398"/>
      <c r="D45" s="398">
        <v>20</v>
      </c>
      <c r="E45" s="399">
        <v>62.12</v>
      </c>
      <c r="F45" s="400">
        <v>62.12</v>
      </c>
      <c r="G45" s="400">
        <v>62.12</v>
      </c>
      <c r="H45" s="401">
        <v>62.12</v>
      </c>
      <c r="I45" s="351"/>
      <c r="J45" s="351"/>
      <c r="K45" s="351"/>
      <c r="L45" s="402" t="s">
        <v>430</v>
      </c>
      <c r="M45" s="403"/>
    </row>
    <row r="46" spans="1:13" ht="15.75" thickBot="1" x14ac:dyDescent="0.3">
      <c r="A46" s="379"/>
      <c r="B46" s="351"/>
      <c r="C46" s="398"/>
      <c r="D46" s="398">
        <v>30</v>
      </c>
      <c r="E46" s="399">
        <v>56.76</v>
      </c>
      <c r="F46" s="400">
        <v>56.76</v>
      </c>
      <c r="G46" s="400">
        <v>56.76</v>
      </c>
      <c r="H46" s="401">
        <v>56.77</v>
      </c>
      <c r="I46" s="351"/>
      <c r="J46" s="351"/>
      <c r="K46" s="351"/>
      <c r="L46" s="405">
        <f t="array" ref="L46">IF('SPOCZNIK - DANE'!E23&lt;0.2,INDEX(Berechnung_Podest!E39:H43,MATCH(L44,Berechnung_Podest!C39:C43,0),MATCH('SPOCZNIK - DANE'!E15,Berechnung_Podest!E38:H38,0)),IF('SPOCZNIK - DANE'!E23&gt;=0.2,INDEX(Berechnung_Podest!E44:H48,MATCH(L44,Berechnung_Podest!D44:D48,0),MATCH('SPOCZNIK - DANE'!E15,Berechnung_Podest!E38:H38,0)),"Eingabe überprüfen!"))</f>
        <v>48.09</v>
      </c>
      <c r="M46" s="352" t="s">
        <v>185</v>
      </c>
    </row>
    <row r="47" spans="1:13" x14ac:dyDescent="0.25">
      <c r="A47" s="379"/>
      <c r="B47" s="351"/>
      <c r="C47" s="398"/>
      <c r="D47" s="398">
        <v>40</v>
      </c>
      <c r="E47" s="399">
        <v>52.07</v>
      </c>
      <c r="F47" s="400">
        <v>52.07</v>
      </c>
      <c r="G47" s="400">
        <v>52.07</v>
      </c>
      <c r="H47" s="401">
        <v>52.09</v>
      </c>
      <c r="I47" s="351"/>
      <c r="J47" s="351"/>
      <c r="K47" s="351"/>
      <c r="L47" s="402" t="s">
        <v>431</v>
      </c>
      <c r="M47" s="403"/>
    </row>
    <row r="48" spans="1:13" ht="15.75" thickBot="1" x14ac:dyDescent="0.3">
      <c r="A48" s="379"/>
      <c r="B48" s="351"/>
      <c r="C48" s="406"/>
      <c r="D48" s="406">
        <v>50</v>
      </c>
      <c r="E48" s="407">
        <v>48.09</v>
      </c>
      <c r="F48" s="408">
        <v>48.09</v>
      </c>
      <c r="G48" s="408">
        <v>48.09</v>
      </c>
      <c r="H48" s="409">
        <v>48.11</v>
      </c>
      <c r="I48" s="351"/>
      <c r="J48" s="351"/>
      <c r="K48" s="351"/>
      <c r="L48" s="410">
        <v>-15</v>
      </c>
      <c r="M48" s="411" t="s">
        <v>185</v>
      </c>
    </row>
    <row r="49" spans="1:13" ht="15.75" thickBot="1" x14ac:dyDescent="0.3">
      <c r="A49" s="379"/>
      <c r="B49" s="351"/>
      <c r="C49" s="351"/>
      <c r="D49" s="351"/>
      <c r="E49" s="351"/>
      <c r="F49" s="351"/>
      <c r="G49" s="351"/>
      <c r="H49" s="351"/>
      <c r="I49" s="351"/>
      <c r="J49" s="351"/>
      <c r="K49" s="351"/>
      <c r="L49" s="351"/>
      <c r="M49" s="372"/>
    </row>
    <row r="50" spans="1:13" x14ac:dyDescent="0.25">
      <c r="A50" s="379"/>
      <c r="B50" s="351"/>
      <c r="C50" s="1177" t="s">
        <v>541</v>
      </c>
      <c r="D50" s="1178"/>
      <c r="E50" s="1179"/>
      <c r="F50" s="387"/>
      <c r="G50" s="387"/>
      <c r="H50" s="387"/>
      <c r="I50" s="387"/>
      <c r="J50" s="387"/>
      <c r="K50" s="387"/>
      <c r="L50" s="351"/>
      <c r="M50" s="372"/>
    </row>
    <row r="51" spans="1:13" ht="15.75" thickBot="1" x14ac:dyDescent="0.3">
      <c r="A51" s="379"/>
      <c r="B51" s="351"/>
      <c r="C51" s="1180" t="s">
        <v>540</v>
      </c>
      <c r="D51" s="1181"/>
      <c r="E51" s="1182"/>
      <c r="F51" s="387"/>
      <c r="G51" s="387"/>
      <c r="H51" s="387"/>
      <c r="I51" s="387"/>
      <c r="J51" s="387"/>
      <c r="K51" s="387"/>
      <c r="L51" s="351"/>
      <c r="M51" s="372"/>
    </row>
    <row r="52" spans="1:13" ht="35.25" customHeight="1" thickBot="1" x14ac:dyDescent="0.3">
      <c r="A52" s="379"/>
      <c r="B52" s="351"/>
      <c r="C52" s="388" t="s">
        <v>542</v>
      </c>
      <c r="D52" s="1183" t="s">
        <v>543</v>
      </c>
      <c r="E52" s="1184"/>
      <c r="F52" s="387"/>
      <c r="G52" s="387"/>
      <c r="H52" s="387"/>
      <c r="I52" s="387"/>
      <c r="J52" s="387"/>
      <c r="K52" s="412"/>
      <c r="L52" s="351"/>
      <c r="M52" s="372"/>
    </row>
    <row r="53" spans="1:13" ht="15.75" thickBot="1" x14ac:dyDescent="0.3">
      <c r="A53" s="379"/>
      <c r="B53" s="351"/>
      <c r="C53" s="413" t="s">
        <v>356</v>
      </c>
      <c r="D53" s="414" t="s">
        <v>544</v>
      </c>
      <c r="E53" s="415" t="s">
        <v>545</v>
      </c>
      <c r="F53" s="351"/>
      <c r="G53" s="387"/>
      <c r="H53" s="387"/>
      <c r="I53" s="387"/>
      <c r="J53" s="387"/>
      <c r="K53" s="416"/>
      <c r="L53" s="402" t="s">
        <v>546</v>
      </c>
      <c r="M53" s="403"/>
    </row>
    <row r="54" spans="1:13" ht="15.75" thickBot="1" x14ac:dyDescent="0.3">
      <c r="A54" s="379"/>
      <c r="B54" s="351"/>
      <c r="C54" s="394" t="s">
        <v>547</v>
      </c>
      <c r="D54" s="417">
        <v>75</v>
      </c>
      <c r="E54" s="418">
        <v>0</v>
      </c>
      <c r="F54" s="419"/>
      <c r="G54" s="419"/>
      <c r="H54" s="419"/>
      <c r="I54" s="419"/>
      <c r="J54" s="419"/>
      <c r="K54" s="420"/>
      <c r="L54" s="405" t="e">
        <f>VLOOKUP('SPOCZNIK - DANE'!K24,Berechnung_Podest!C54:D56,2,0)</f>
        <v>#N/A</v>
      </c>
      <c r="M54" s="352" t="s">
        <v>185</v>
      </c>
    </row>
    <row r="55" spans="1:13" x14ac:dyDescent="0.25">
      <c r="A55" s="379"/>
      <c r="B55" s="351"/>
      <c r="C55" s="398" t="s">
        <v>548</v>
      </c>
      <c r="D55" s="399">
        <v>75</v>
      </c>
      <c r="E55" s="421">
        <v>-15</v>
      </c>
      <c r="F55" s="419"/>
      <c r="G55" s="419"/>
      <c r="H55" s="419"/>
      <c r="I55" s="419"/>
      <c r="J55" s="419"/>
      <c r="K55" s="420"/>
      <c r="L55" s="402" t="s">
        <v>549</v>
      </c>
      <c r="M55" s="403"/>
    </row>
    <row r="56" spans="1:13" ht="15.75" thickBot="1" x14ac:dyDescent="0.3">
      <c r="A56" s="379"/>
      <c r="B56" s="351"/>
      <c r="C56" s="422" t="s">
        <v>550</v>
      </c>
      <c r="D56" s="423">
        <v>75</v>
      </c>
      <c r="E56" s="424">
        <v>-15</v>
      </c>
      <c r="F56" s="419"/>
      <c r="G56" s="419"/>
      <c r="H56" s="419"/>
      <c r="I56" s="419"/>
      <c r="J56" s="419"/>
      <c r="K56" s="420"/>
      <c r="L56" s="410" t="e">
        <f>VLOOKUP('SPOCZNIK - DANE'!K24,Berechnung_Podest!C54:E56,3,0)</f>
        <v>#N/A</v>
      </c>
      <c r="M56" s="411" t="s">
        <v>185</v>
      </c>
    </row>
    <row r="57" spans="1:13" ht="15.75" thickBot="1" x14ac:dyDescent="0.3">
      <c r="A57" s="379"/>
      <c r="B57" s="351"/>
      <c r="C57" s="1174" t="s">
        <v>551</v>
      </c>
      <c r="D57" s="1175"/>
      <c r="E57" s="1176"/>
      <c r="F57" s="425" t="s">
        <v>552</v>
      </c>
      <c r="G57" s="426" t="s">
        <v>43</v>
      </c>
      <c r="H57" s="419"/>
      <c r="I57" s="419"/>
      <c r="J57" s="419"/>
      <c r="K57" s="420"/>
      <c r="L57" s="351"/>
      <c r="M57" s="372"/>
    </row>
    <row r="58" spans="1:13" x14ac:dyDescent="0.25">
      <c r="A58" s="379"/>
      <c r="B58" s="351"/>
      <c r="C58" s="427" t="s">
        <v>553</v>
      </c>
      <c r="D58" s="428"/>
      <c r="E58" s="425" t="s">
        <v>554</v>
      </c>
      <c r="F58" s="429">
        <f>IF(LEFT('SPOCZNIK - DANE'!K24,5)="Typ Z",Berechnung_Podest!L54,IF(LEFT('SPOCZNIK - DANE'!K24,5)="Typ P",Berechnung_Podest!L46,"n.v."))</f>
        <v>48.09</v>
      </c>
      <c r="G58" s="1166" t="str">
        <f>'SPOCZNIK - DANE'!E15</f>
        <v>C30/37</v>
      </c>
      <c r="H58" s="351"/>
      <c r="I58" s="351"/>
      <c r="J58" s="351"/>
      <c r="K58" s="351"/>
      <c r="L58" s="351"/>
      <c r="M58" s="372"/>
    </row>
    <row r="59" spans="1:13" ht="15.75" thickBot="1" x14ac:dyDescent="0.3">
      <c r="A59" s="379"/>
      <c r="B59" s="351"/>
      <c r="C59" s="430" t="s">
        <v>555</v>
      </c>
      <c r="D59" s="431"/>
      <c r="E59" s="432" t="s">
        <v>556</v>
      </c>
      <c r="F59" s="433">
        <f>IF(LEFT('SPOCZNIK - DANE'!K24,5)="Typ Z",Berechnung_Podest!L56,IF(LEFT('SPOCZNIK - DANE'!K24,5)="Typ P",Berechnung_Podest!L48,"n.v."))</f>
        <v>-15</v>
      </c>
      <c r="G59" s="1167"/>
      <c r="H59" s="351"/>
      <c r="I59" s="351"/>
      <c r="J59" s="351"/>
      <c r="K59" s="351"/>
      <c r="L59" s="351"/>
      <c r="M59" s="372"/>
    </row>
    <row r="60" spans="1:13" ht="15.75" thickBot="1" x14ac:dyDescent="0.3">
      <c r="A60" s="434"/>
      <c r="B60" s="435"/>
      <c r="C60" s="435"/>
      <c r="D60" s="435"/>
      <c r="E60" s="435"/>
      <c r="F60" s="435"/>
      <c r="G60" s="435"/>
      <c r="H60" s="435"/>
      <c r="I60" s="435"/>
      <c r="J60" s="435"/>
      <c r="K60" s="435"/>
      <c r="L60" s="435"/>
      <c r="M60" s="436"/>
    </row>
  </sheetData>
  <mergeCells count="8">
    <mergeCell ref="G58:G59"/>
    <mergeCell ref="E37:H37"/>
    <mergeCell ref="C36:H36"/>
    <mergeCell ref="C35:H35"/>
    <mergeCell ref="C57:E57"/>
    <mergeCell ref="C50:E50"/>
    <mergeCell ref="C51:E51"/>
    <mergeCell ref="D52:E52"/>
  </mergeCells>
  <pageMargins left="0.7" right="0.7" top="0.78740157499999996" bottom="0.78740157499999996" header="0.3" footer="0.3"/>
  <pageSetup paperSize="9"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0ABBA-BA06-4131-B791-41EA631F9DBE}">
  <sheetPr codeName="Tabelle9">
    <tabColor rgb="FFDE9F00"/>
  </sheetPr>
  <dimension ref="A1:P144"/>
  <sheetViews>
    <sheetView view="pageBreakPreview" zoomScale="85" zoomScaleNormal="85" zoomScaleSheetLayoutView="85" workbookViewId="0"/>
  </sheetViews>
  <sheetFormatPr baseColWidth="10" defaultColWidth="6.140625" defaultRowHeight="12.75" x14ac:dyDescent="0.2"/>
  <cols>
    <col min="1" max="1" width="1.85546875" style="3" customWidth="1"/>
    <col min="2" max="2" width="9.5703125" style="3" customWidth="1"/>
    <col min="3" max="3" width="10.28515625" style="3" customWidth="1"/>
    <col min="4" max="4" width="11" style="3" customWidth="1"/>
    <col min="5" max="5" width="10.140625" style="3" customWidth="1"/>
    <col min="6" max="6" width="10.7109375" style="3" customWidth="1"/>
    <col min="7" max="7" width="8.5703125" style="3" customWidth="1"/>
    <col min="8" max="8" width="10.7109375" style="3" customWidth="1"/>
    <col min="9" max="9" width="8.85546875" style="3" customWidth="1"/>
    <col min="10" max="10" width="5.5703125" style="3" customWidth="1"/>
    <col min="11" max="16384" width="6.140625" style="3"/>
  </cols>
  <sheetData>
    <row r="1" spans="1:16" ht="6.75" customHeight="1" x14ac:dyDescent="0.2">
      <c r="A1" s="497"/>
      <c r="B1" s="498"/>
      <c r="C1" s="498"/>
      <c r="D1" s="498"/>
      <c r="E1" s="498"/>
      <c r="F1" s="498"/>
      <c r="G1" s="498"/>
      <c r="H1" s="498"/>
      <c r="I1" s="498"/>
      <c r="J1" s="499"/>
    </row>
    <row r="2" spans="1:16" ht="15" x14ac:dyDescent="0.2">
      <c r="A2" s="501"/>
      <c r="B2" s="502" t="str">
        <f>Texte_Sprachen!B3</f>
        <v>Nazwa obiektu</v>
      </c>
      <c r="C2" s="502"/>
      <c r="D2" s="502"/>
      <c r="E2" s="502" t="str">
        <f>IF(PRZEGLAD!D3&lt;&gt;"",PRZEGLAD!D3,"")</f>
        <v/>
      </c>
      <c r="F2" s="502"/>
      <c r="G2" s="502"/>
      <c r="H2" s="502"/>
      <c r="I2" s="502"/>
      <c r="J2" s="628"/>
    </row>
    <row r="3" spans="1:16" ht="15.75" customHeight="1" x14ac:dyDescent="0.2">
      <c r="A3" s="501"/>
      <c r="B3" s="502" t="str">
        <f>Texte_Sprachen!B4</f>
        <v>Numer obiektu</v>
      </c>
      <c r="C3" s="502"/>
      <c r="D3" s="502"/>
      <c r="E3" s="502" t="str">
        <f>IF(PRZEGLAD!D4&lt;&gt;"",PRZEGLAD!D4,"")</f>
        <v/>
      </c>
      <c r="F3" s="502"/>
      <c r="G3" s="502"/>
      <c r="H3" s="502"/>
      <c r="I3" s="502"/>
      <c r="J3" s="628"/>
    </row>
    <row r="4" spans="1:16" ht="15.75" customHeight="1" x14ac:dyDescent="0.2">
      <c r="A4" s="501"/>
      <c r="B4" s="502" t="str">
        <f>Texte_Sprachen!B6</f>
        <v>Pozycja</v>
      </c>
      <c r="C4" s="502"/>
      <c r="D4" s="502"/>
      <c r="E4" s="502" t="str">
        <f>IF('SPOCZNIK - DANE'!D5&lt;&gt;"",'SPOCZNIK - DANE'!D5,"")</f>
        <v/>
      </c>
      <c r="F4" s="502"/>
      <c r="G4" s="502"/>
      <c r="H4" s="502"/>
      <c r="I4" s="502"/>
      <c r="J4" s="628"/>
    </row>
    <row r="5" spans="1:16" ht="15.75" customHeight="1" x14ac:dyDescent="0.2">
      <c r="A5" s="501"/>
      <c r="B5" s="502" t="str">
        <f>Texte_Sprachen!B7</f>
        <v>Element budowlany</v>
      </c>
      <c r="C5" s="502"/>
      <c r="D5" s="502"/>
      <c r="E5" s="502" t="str">
        <f>IF('SPOCZNIK - DANE'!D6&lt;&gt;"",'SPOCZNIK - DANE'!D6,"")</f>
        <v/>
      </c>
      <c r="F5" s="502"/>
      <c r="G5" s="502"/>
      <c r="H5" s="502"/>
      <c r="I5" s="502"/>
      <c r="J5" s="628"/>
    </row>
    <row r="6" spans="1:16" ht="16.5" customHeight="1" x14ac:dyDescent="0.2">
      <c r="A6" s="501"/>
      <c r="B6" s="1185" t="str">
        <f>Texte_Sprachen!B11</f>
        <v>Data</v>
      </c>
      <c r="C6" s="1185"/>
      <c r="D6" s="502"/>
      <c r="E6" s="1186">
        <f ca="1">'BIEG - DANE'!K8</f>
        <v>45462.610219907408</v>
      </c>
      <c r="F6" s="1186"/>
      <c r="G6" s="502" t="str">
        <f>Texte_Sprachen!B5</f>
        <v>Opracował</v>
      </c>
      <c r="H6" s="502"/>
      <c r="I6" s="1187"/>
      <c r="J6" s="1188"/>
    </row>
    <row r="7" spans="1:16" s="6" customFormat="1" ht="20.100000000000001" customHeight="1" x14ac:dyDescent="0.25">
      <c r="A7" s="1136" t="str">
        <f>Texte_Sprachen!B104&amp;" - Schöck Tronsole®"</f>
        <v>Obliczenia - Schöck Tronsole®</v>
      </c>
      <c r="B7" s="1137"/>
      <c r="C7" s="1137"/>
      <c r="D7" s="1137"/>
      <c r="E7" s="1137"/>
      <c r="F7" s="1137"/>
      <c r="G7" s="1137"/>
      <c r="H7" s="1137"/>
      <c r="I7" s="1137"/>
      <c r="J7" s="1138"/>
    </row>
    <row r="8" spans="1:16" ht="6" customHeight="1" x14ac:dyDescent="0.2">
      <c r="A8" s="503"/>
      <c r="B8" s="504"/>
      <c r="C8" s="504"/>
      <c r="D8" s="504"/>
      <c r="G8" s="505"/>
      <c r="J8" s="500"/>
    </row>
    <row r="9" spans="1:16" ht="15" customHeight="1" x14ac:dyDescent="0.25">
      <c r="A9" s="503"/>
      <c r="B9" s="1128" t="str">
        <f>Texte_Sprachen!B111</f>
        <v>Podstawy obliczeń:</v>
      </c>
      <c r="C9" s="1128"/>
      <c r="D9" s="1128"/>
      <c r="E9" s="1128"/>
      <c r="F9" s="1128"/>
      <c r="G9" s="1128"/>
      <c r="H9" s="1128"/>
      <c r="J9" s="500"/>
    </row>
    <row r="10" spans="1:16" x14ac:dyDescent="0.2">
      <c r="A10" s="503"/>
      <c r="B10" s="507" t="s">
        <v>435</v>
      </c>
      <c r="C10" s="1124" t="str">
        <f>Texte_Sprachen!B109</f>
        <v>-</v>
      </c>
      <c r="D10" s="1124"/>
      <c r="E10" s="1124"/>
      <c r="F10" s="1124"/>
      <c r="G10" s="1124"/>
      <c r="H10" s="1124"/>
      <c r="I10" s="1124"/>
      <c r="J10" s="1125"/>
      <c r="P10" s="5"/>
    </row>
    <row r="11" spans="1:16" x14ac:dyDescent="0.2">
      <c r="A11" s="503"/>
      <c r="B11" s="507"/>
      <c r="C11" s="1124"/>
      <c r="D11" s="1124"/>
      <c r="E11" s="1124"/>
      <c r="F11" s="1124"/>
      <c r="G11" s="1124"/>
      <c r="H11" s="1124"/>
      <c r="I11" s="1124"/>
      <c r="J11" s="1125"/>
    </row>
    <row r="12" spans="1:16" x14ac:dyDescent="0.2">
      <c r="A12" s="503"/>
      <c r="B12" s="507" t="s">
        <v>435</v>
      </c>
      <c r="C12" s="1124" t="str">
        <f>Texte_Sprachen!B134</f>
        <v>Krajowa Ocena Techniczna ITB - KOT-2020_1348 - typy F,B,L,D    
Krajowa Ocena Techniczna ITB - KOT-2020_1349 - typy Q,P,T,Z,L</v>
      </c>
      <c r="D12" s="1124"/>
      <c r="E12" s="1124"/>
      <c r="F12" s="1124"/>
      <c r="G12" s="1124"/>
      <c r="H12" s="1124"/>
      <c r="I12" s="1124"/>
      <c r="J12" s="1125"/>
    </row>
    <row r="13" spans="1:16" ht="12.75" customHeight="1" x14ac:dyDescent="0.2">
      <c r="A13" s="503"/>
      <c r="B13" s="507"/>
      <c r="C13" s="1124"/>
      <c r="D13" s="1124"/>
      <c r="E13" s="1124"/>
      <c r="F13" s="1124"/>
      <c r="G13" s="1124"/>
      <c r="H13" s="1124"/>
      <c r="I13" s="1124"/>
      <c r="J13" s="1125"/>
    </row>
    <row r="14" spans="1:16" ht="15" customHeight="1" x14ac:dyDescent="0.25">
      <c r="A14" s="503"/>
      <c r="B14" s="1128" t="str">
        <f>Texte_Sprachen!B110</f>
        <v>Wskazówki:</v>
      </c>
      <c r="C14" s="1128"/>
      <c r="D14" s="1128"/>
      <c r="E14" s="1128"/>
      <c r="F14" s="1128"/>
      <c r="G14" s="1128"/>
      <c r="H14" s="1128"/>
      <c r="I14" s="513"/>
      <c r="J14" s="514"/>
    </row>
    <row r="15" spans="1:16" ht="14.1" customHeight="1" x14ac:dyDescent="0.2">
      <c r="A15" s="503"/>
      <c r="B15" s="507" t="s">
        <v>435</v>
      </c>
      <c r="C15" s="1124" t="str">
        <f>Texte_Sprachen!B108</f>
        <v xml:space="preserve">Wyniki obliczeń dotyczą jedynie doboru produktów Schöck Tronsole®. Schematy podparcia i szczegóły zbrojenia powinny być przeanalizowane przez Projektanta. </v>
      </c>
      <c r="D15" s="1124"/>
      <c r="E15" s="1124"/>
      <c r="F15" s="1124"/>
      <c r="G15" s="1124"/>
      <c r="H15" s="1124"/>
      <c r="I15" s="1124"/>
      <c r="J15" s="1125"/>
    </row>
    <row r="16" spans="1:16" ht="14.1" customHeight="1" x14ac:dyDescent="0.2">
      <c r="A16" s="503"/>
      <c r="B16" s="507"/>
      <c r="C16" s="1124"/>
      <c r="D16" s="1124"/>
      <c r="E16" s="1124"/>
      <c r="F16" s="1124"/>
      <c r="G16" s="1124"/>
      <c r="H16" s="1124"/>
      <c r="I16" s="1124"/>
      <c r="J16" s="1125"/>
    </row>
    <row r="17" spans="1:10" ht="14.1" customHeight="1" x14ac:dyDescent="0.2">
      <c r="A17" s="503"/>
      <c r="B17" s="507" t="s">
        <v>435</v>
      </c>
      <c r="C17" s="1124" t="str">
        <f>Texte_Sprachen!B107</f>
        <v>Dalsze informacje i wskazówki w informacji technicznej Schöck Tronsole® dostępnej na stronie: https://www.schoeck.com/</v>
      </c>
      <c r="D17" s="1124"/>
      <c r="E17" s="1124"/>
      <c r="F17" s="1124"/>
      <c r="G17" s="1124"/>
      <c r="H17" s="1124"/>
      <c r="I17" s="1124"/>
      <c r="J17" s="1125"/>
    </row>
    <row r="18" spans="1:10" ht="14.1" customHeight="1" x14ac:dyDescent="0.2">
      <c r="A18" s="503"/>
      <c r="B18" s="507"/>
      <c r="C18" s="1124"/>
      <c r="D18" s="1124"/>
      <c r="E18" s="1124"/>
      <c r="F18" s="1124"/>
      <c r="G18" s="1124"/>
      <c r="H18" s="1124"/>
      <c r="I18" s="1124"/>
      <c r="J18" s="1125"/>
    </row>
    <row r="19" spans="1:10" ht="14.1" customHeight="1" x14ac:dyDescent="0.2">
      <c r="A19" s="503"/>
      <c r="B19" s="511"/>
      <c r="C19" s="515"/>
      <c r="D19" s="515"/>
      <c r="E19" s="515"/>
      <c r="F19" s="515"/>
      <c r="G19" s="515"/>
      <c r="H19" s="515"/>
      <c r="I19" s="515"/>
      <c r="J19" s="509"/>
    </row>
    <row r="20" spans="1:10" ht="70.7" customHeight="1" x14ac:dyDescent="0.2">
      <c r="A20" s="503"/>
      <c r="B20" s="513"/>
      <c r="C20" s="516"/>
      <c r="D20" s="517" t="s">
        <v>12</v>
      </c>
      <c r="E20" s="516"/>
      <c r="F20" s="516"/>
      <c r="G20" s="516"/>
      <c r="H20" s="517" t="s">
        <v>13</v>
      </c>
      <c r="I20" s="516"/>
      <c r="J20" s="518"/>
    </row>
    <row r="21" spans="1:10" ht="70.7" customHeight="1" x14ac:dyDescent="0.2">
      <c r="A21" s="503"/>
      <c r="B21" s="513"/>
      <c r="C21" s="515"/>
      <c r="D21" s="517" t="s">
        <v>11</v>
      </c>
      <c r="G21" s="80"/>
      <c r="H21" s="517" t="s">
        <v>14</v>
      </c>
      <c r="I21" s="508"/>
      <c r="J21" s="509"/>
    </row>
    <row r="22" spans="1:10" ht="70.7" customHeight="1" x14ac:dyDescent="0.2">
      <c r="A22" s="503"/>
      <c r="B22" s="513"/>
      <c r="C22" s="7"/>
      <c r="D22" s="517" t="s">
        <v>436</v>
      </c>
      <c r="H22" s="517" t="s">
        <v>15</v>
      </c>
      <c r="J22" s="500"/>
    </row>
    <row r="23" spans="1:10" ht="70.7" customHeight="1" x14ac:dyDescent="0.2">
      <c r="A23" s="503"/>
      <c r="B23" s="513"/>
      <c r="C23" s="515"/>
      <c r="D23" s="517" t="s">
        <v>437</v>
      </c>
      <c r="G23" s="80"/>
      <c r="H23" s="508"/>
      <c r="I23" s="508"/>
      <c r="J23" s="509"/>
    </row>
    <row r="24" spans="1:10" ht="15" customHeight="1" x14ac:dyDescent="0.25">
      <c r="A24" s="503"/>
      <c r="B24" s="513"/>
      <c r="C24" s="515"/>
      <c r="D24" s="513"/>
      <c r="G24" s="466"/>
      <c r="H24"/>
      <c r="I24" s="515"/>
      <c r="J24" s="519"/>
    </row>
    <row r="25" spans="1:10" ht="12" customHeight="1" x14ac:dyDescent="0.2">
      <c r="A25" s="503"/>
      <c r="B25" s="513"/>
      <c r="C25" s="515"/>
      <c r="D25" s="513"/>
      <c r="G25" s="466"/>
      <c r="H25" s="515"/>
      <c r="I25" s="515"/>
      <c r="J25" s="519"/>
    </row>
    <row r="26" spans="1:10" ht="15" customHeight="1" x14ac:dyDescent="0.25">
      <c r="A26" s="503"/>
      <c r="B26" s="1128" t="str">
        <f>Texte_Sprachen!B112</f>
        <v>Fizyka budowli</v>
      </c>
      <c r="C26" s="1128"/>
      <c r="D26" s="1128"/>
      <c r="E26" s="1128"/>
      <c r="F26" s="1128"/>
      <c r="G26" s="1128"/>
      <c r="H26" s="1128"/>
      <c r="I26" s="513"/>
      <c r="J26" s="514"/>
    </row>
    <row r="27" spans="1:10" ht="15" customHeight="1" x14ac:dyDescent="0.25">
      <c r="A27" s="503"/>
      <c r="B27" s="506"/>
      <c r="C27" s="506"/>
      <c r="D27" s="506"/>
      <c r="E27" s="506"/>
      <c r="F27" s="506"/>
      <c r="G27" s="506"/>
      <c r="H27" s="506"/>
      <c r="I27" s="513"/>
      <c r="J27" s="514"/>
    </row>
    <row r="28" spans="1:10" ht="12.95" customHeight="1" x14ac:dyDescent="0.2">
      <c r="A28" s="503"/>
      <c r="B28" s="520" t="str">
        <f>Texte_Sprachen!B113</f>
        <v>Ważony wskaźnik zmniejszenia poziomu uderzeniowego ΔLw</v>
      </c>
      <c r="D28" s="521"/>
      <c r="E28" s="521"/>
      <c r="F28" s="521"/>
      <c r="H28" s="521"/>
      <c r="I28" s="513"/>
      <c r="J28" s="514"/>
    </row>
    <row r="29" spans="1:10" ht="12.95" customHeight="1" x14ac:dyDescent="0.2">
      <c r="A29" s="503"/>
      <c r="B29" s="520"/>
      <c r="D29" s="521"/>
      <c r="E29" s="521"/>
      <c r="F29" s="521"/>
      <c r="H29" s="521"/>
      <c r="I29" s="513"/>
      <c r="J29" s="514"/>
    </row>
    <row r="30" spans="1:10" s="5" customFormat="1" ht="12.95" customHeight="1" x14ac:dyDescent="0.2">
      <c r="A30" s="503"/>
      <c r="B30" s="512" t="s">
        <v>438</v>
      </c>
      <c r="C30" s="522"/>
      <c r="D30" s="512" t="s">
        <v>439</v>
      </c>
      <c r="E30" s="523"/>
      <c r="F30" s="512" t="s">
        <v>440</v>
      </c>
      <c r="G30" s="524"/>
      <c r="H30" s="512" t="s">
        <v>441</v>
      </c>
      <c r="I30" s="525"/>
      <c r="J30" s="526"/>
    </row>
    <row r="31" spans="1:10" s="5" customFormat="1" ht="12.95" customHeight="1" x14ac:dyDescent="0.2">
      <c r="A31" s="503"/>
      <c r="B31" s="512" t="s">
        <v>442</v>
      </c>
      <c r="C31" s="522"/>
      <c r="D31" s="512" t="s">
        <v>443</v>
      </c>
      <c r="E31" s="523"/>
      <c r="F31" s="512" t="s">
        <v>444</v>
      </c>
      <c r="G31" s="524"/>
      <c r="H31" s="512" t="s">
        <v>445</v>
      </c>
      <c r="I31" s="525"/>
      <c r="J31" s="526"/>
    </row>
    <row r="32" spans="1:10" s="5" customFormat="1" ht="12.95" customHeight="1" x14ac:dyDescent="0.2">
      <c r="A32" s="503"/>
      <c r="B32" s="512" t="s">
        <v>446</v>
      </c>
      <c r="C32" s="522"/>
      <c r="D32" s="512"/>
      <c r="E32" s="523"/>
      <c r="F32" s="512" t="s">
        <v>447</v>
      </c>
      <c r="G32" s="524"/>
      <c r="H32" s="512" t="s">
        <v>448</v>
      </c>
      <c r="I32" s="525"/>
      <c r="J32" s="526"/>
    </row>
    <row r="33" spans="1:10" s="5" customFormat="1" ht="12.95" customHeight="1" x14ac:dyDescent="0.2">
      <c r="A33" s="503"/>
      <c r="B33" s="512"/>
      <c r="C33" s="515"/>
      <c r="D33" s="508"/>
      <c r="E33" s="508"/>
      <c r="F33" s="508"/>
      <c r="G33" s="508"/>
      <c r="H33" s="508"/>
      <c r="I33" s="508"/>
      <c r="J33" s="509"/>
    </row>
    <row r="34" spans="1:10" s="5" customFormat="1" ht="12" customHeight="1" x14ac:dyDescent="0.2">
      <c r="A34" s="503"/>
      <c r="B34" s="1134" t="str">
        <f>Texte_Sprachen!B114</f>
        <v>Oddzielenie akustyczne biegów schodowych/spocznika od ściany klatki schodowej realizowane jest poprzez zastosowanie Schöck Tronsole® typu L.</v>
      </c>
      <c r="C34" s="1134"/>
      <c r="D34" s="1134"/>
      <c r="E34" s="1134"/>
      <c r="F34" s="1134"/>
      <c r="G34" s="1134"/>
      <c r="H34" s="1134"/>
      <c r="I34" s="1134"/>
      <c r="J34" s="1135"/>
    </row>
    <row r="35" spans="1:10" s="5" customFormat="1" ht="12.95" customHeight="1" x14ac:dyDescent="0.2">
      <c r="A35" s="503"/>
      <c r="B35" s="1134"/>
      <c r="C35" s="1134"/>
      <c r="D35" s="1134"/>
      <c r="E35" s="1134"/>
      <c r="F35" s="1134"/>
      <c r="G35" s="1134"/>
      <c r="H35" s="1134"/>
      <c r="I35" s="1134"/>
      <c r="J35" s="1135"/>
    </row>
    <row r="36" spans="1:10" s="5" customFormat="1" ht="12.95" customHeight="1" x14ac:dyDescent="0.2">
      <c r="A36" s="503"/>
      <c r="B36" s="1134"/>
      <c r="C36" s="1134"/>
      <c r="D36" s="1134"/>
      <c r="E36" s="1134"/>
      <c r="F36" s="1134"/>
      <c r="G36" s="1134"/>
      <c r="H36" s="1134"/>
      <c r="I36" s="1134"/>
      <c r="J36" s="1135"/>
    </row>
    <row r="37" spans="1:10" ht="24.75" customHeight="1" x14ac:dyDescent="0.2">
      <c r="A37" s="552"/>
      <c r="B37" s="463"/>
      <c r="C37" s="463"/>
      <c r="D37" s="463"/>
      <c r="E37" s="592"/>
      <c r="F37" s="592"/>
      <c r="G37" s="592"/>
      <c r="H37" s="592"/>
      <c r="I37" s="592"/>
      <c r="J37" s="553"/>
    </row>
    <row r="38" spans="1:10" ht="20.100000000000001" customHeight="1" x14ac:dyDescent="0.2">
      <c r="A38" s="1136" t="str">
        <f>Texte_Sprachen!B115</f>
        <v>Wprowadzone dane</v>
      </c>
      <c r="B38" s="1137"/>
      <c r="C38" s="1137"/>
      <c r="D38" s="1137"/>
      <c r="E38" s="1137"/>
      <c r="F38" s="1137"/>
      <c r="G38" s="1137"/>
      <c r="H38" s="1137"/>
      <c r="I38" s="1137"/>
      <c r="J38" s="1138"/>
    </row>
    <row r="39" spans="1:10" ht="20.100000000000001" customHeight="1" x14ac:dyDescent="0.2">
      <c r="A39" s="624"/>
      <c r="B39" s="613"/>
      <c r="C39" s="613"/>
      <c r="D39" s="613"/>
      <c r="E39" s="594"/>
      <c r="F39" s="594"/>
      <c r="G39" s="594"/>
      <c r="H39" s="614"/>
      <c r="I39" s="498"/>
      <c r="J39" s="499"/>
    </row>
    <row r="40" spans="1:10" ht="18" customHeight="1" x14ac:dyDescent="0.2">
      <c r="A40" s="503"/>
      <c r="B40" s="530" t="s">
        <v>180</v>
      </c>
      <c r="C40" s="531" t="str">
        <f>'SPOCZNIK - DANE'!C13</f>
        <v>System</v>
      </c>
      <c r="D40" s="532"/>
      <c r="E40" s="537"/>
      <c r="F40" s="538"/>
      <c r="G40" s="610"/>
      <c r="J40" s="500"/>
    </row>
    <row r="41" spans="1:10" ht="18" customHeight="1" x14ac:dyDescent="0.2">
      <c r="A41" s="503"/>
      <c r="B41" s="505"/>
      <c r="C41" s="532" t="str">
        <f>'SPOCZNIK - DANE'!C14</f>
        <v>Ochrona ppoż.</v>
      </c>
      <c r="D41" s="532"/>
      <c r="E41" s="532"/>
      <c r="F41" s="538"/>
      <c r="G41" s="615" t="str">
        <f>'SPOCZNIK - DANE'!E14</f>
        <v>R 120</v>
      </c>
      <c r="J41" s="500"/>
    </row>
    <row r="42" spans="1:10" ht="18" customHeight="1" x14ac:dyDescent="0.2">
      <c r="A42" s="503"/>
      <c r="B42" s="505"/>
      <c r="C42" s="532" t="str">
        <f>'SPOCZNIK - DANE'!C15</f>
        <v>Klasa betonu</v>
      </c>
      <c r="D42" s="532"/>
      <c r="E42" s="537"/>
      <c r="F42" s="538"/>
      <c r="G42" s="615" t="str">
        <f>'SPOCZNIK - DANE'!E15</f>
        <v>C30/37</v>
      </c>
      <c r="J42" s="500"/>
    </row>
    <row r="43" spans="1:10" ht="18" customHeight="1" thickBot="1" x14ac:dyDescent="0.25">
      <c r="A43" s="541"/>
      <c r="B43" s="459"/>
      <c r="C43" s="460"/>
      <c r="D43" s="460"/>
      <c r="E43" s="616"/>
      <c r="F43" s="461"/>
      <c r="G43" s="617"/>
      <c r="H43" s="462"/>
      <c r="I43" s="462"/>
      <c r="J43" s="542"/>
    </row>
    <row r="44" spans="1:10" ht="18" customHeight="1" thickTop="1" x14ac:dyDescent="0.2">
      <c r="A44" s="547"/>
      <c r="B44" s="505"/>
      <c r="C44" s="532"/>
      <c r="D44" s="532"/>
      <c r="E44" s="537"/>
      <c r="F44" s="538"/>
      <c r="G44" s="610"/>
      <c r="J44" s="500"/>
    </row>
    <row r="45" spans="1:10" ht="18" customHeight="1" x14ac:dyDescent="0.2">
      <c r="A45" s="548"/>
      <c r="B45" s="530" t="s">
        <v>186</v>
      </c>
      <c r="C45" s="531" t="str">
        <f>'SPOCZNIK - DANE'!C17</f>
        <v>Geometria</v>
      </c>
      <c r="D45" s="532"/>
      <c r="E45" s="537"/>
      <c r="F45" s="538"/>
      <c r="G45" s="610"/>
      <c r="J45" s="500"/>
    </row>
    <row r="46" spans="1:10" ht="18" customHeight="1" x14ac:dyDescent="0.2">
      <c r="A46" s="548"/>
      <c r="B46" s="505"/>
      <c r="C46" s="532" t="str">
        <f>'SPOCZNIK - DANE'!C18</f>
        <v>Długość spocznika</v>
      </c>
      <c r="D46" s="532"/>
      <c r="E46" s="537" t="str">
        <f>'SPOCZNIK - DANE'!D18</f>
        <v>[L]</v>
      </c>
      <c r="F46" s="537" t="s">
        <v>449</v>
      </c>
      <c r="G46" s="540">
        <f>'SPOCZNIK - DANE'!E18</f>
        <v>250</v>
      </c>
      <c r="H46" s="5" t="s">
        <v>188</v>
      </c>
      <c r="J46" s="500"/>
    </row>
    <row r="47" spans="1:10" ht="18" customHeight="1" x14ac:dyDescent="0.2">
      <c r="A47" s="503"/>
      <c r="B47" s="505"/>
      <c r="C47" s="532" t="str">
        <f>'SPOCZNIK - DANE'!C19</f>
        <v>Szerokość spocznika</v>
      </c>
      <c r="D47" s="532"/>
      <c r="E47" s="537" t="str">
        <f>'SPOCZNIK - DANE'!D19</f>
        <v>[B]</v>
      </c>
      <c r="F47" s="537" t="s">
        <v>449</v>
      </c>
      <c r="G47" s="540">
        <f>'SPOCZNIK - DANE'!E19</f>
        <v>100</v>
      </c>
      <c r="H47" s="5" t="s">
        <v>188</v>
      </c>
      <c r="J47" s="500"/>
    </row>
    <row r="48" spans="1:10" ht="18" customHeight="1" x14ac:dyDescent="0.2">
      <c r="A48" s="548"/>
      <c r="B48" s="505"/>
      <c r="C48" s="532" t="str">
        <f>'SPOCZNIK - DANE'!C21</f>
        <v>Krawędź z przodu</v>
      </c>
      <c r="D48" s="532"/>
      <c r="E48" s="537" t="str">
        <f>'SPOCZNIK - DANE'!D21</f>
        <v>[b1]</v>
      </c>
      <c r="F48" s="537" t="s">
        <v>449</v>
      </c>
      <c r="G48" s="540">
        <f>'SPOCZNIK - DANE'!E21</f>
        <v>33</v>
      </c>
      <c r="H48" s="5" t="s">
        <v>188</v>
      </c>
      <c r="I48" s="551"/>
      <c r="J48" s="500"/>
    </row>
    <row r="49" spans="1:10" ht="20.100000000000001" customHeight="1" x14ac:dyDescent="0.2">
      <c r="A49" s="547"/>
      <c r="B49" s="543"/>
      <c r="C49" s="532" t="str">
        <f>'SPOCZNIK - DANE'!C22</f>
        <v>Krawędź z tyłu</v>
      </c>
      <c r="D49" s="532"/>
      <c r="E49" s="537" t="str">
        <f>'SPOCZNIK - DANE'!D22</f>
        <v>[b3]</v>
      </c>
      <c r="F49" s="537" t="s">
        <v>449</v>
      </c>
      <c r="G49" s="540">
        <f>'SPOCZNIK - DANE'!E22</f>
        <v>25</v>
      </c>
      <c r="H49" s="5" t="s">
        <v>188</v>
      </c>
      <c r="I49" s="551"/>
      <c r="J49" s="500"/>
    </row>
    <row r="50" spans="1:10" ht="18" customHeight="1" x14ac:dyDescent="0.2">
      <c r="A50" s="503"/>
      <c r="B50" s="505"/>
      <c r="C50" s="532" t="str">
        <f>'SPOCZNIK - DANE'!C23</f>
        <v>Grubość spocznika</v>
      </c>
      <c r="D50" s="532"/>
      <c r="E50" s="537" t="str">
        <f>'SPOCZNIK - DANE'!D23</f>
        <v>[H]</v>
      </c>
      <c r="F50" s="537" t="s">
        <v>449</v>
      </c>
      <c r="G50" s="540">
        <f>'SPOCZNIK - DANE'!E23</f>
        <v>25</v>
      </c>
      <c r="H50" s="5" t="s">
        <v>188</v>
      </c>
      <c r="I50" s="551"/>
      <c r="J50" s="500"/>
    </row>
    <row r="51" spans="1:10" ht="18" customHeight="1" x14ac:dyDescent="0.2">
      <c r="A51" s="503"/>
      <c r="B51" s="505"/>
      <c r="C51" s="532" t="str">
        <f>'SPOCZNIK - DANE'!C24</f>
        <v>Szerokość dylatacji</v>
      </c>
      <c r="D51" s="532"/>
      <c r="E51" s="537" t="str">
        <f>'SPOCZNIK - DANE'!D24</f>
        <v>[F]</v>
      </c>
      <c r="F51" s="537" t="s">
        <v>449</v>
      </c>
      <c r="G51" s="540">
        <f>'SPOCZNIK - DANE'!E24</f>
        <v>5</v>
      </c>
      <c r="H51" s="5" t="s">
        <v>188</v>
      </c>
      <c r="I51" s="551"/>
      <c r="J51" s="500"/>
    </row>
    <row r="52" spans="1:10" ht="18" customHeight="1" thickBot="1" x14ac:dyDescent="0.25">
      <c r="A52" s="541"/>
      <c r="B52" s="459"/>
      <c r="C52" s="460"/>
      <c r="D52" s="459"/>
      <c r="E52" s="609"/>
      <c r="F52" s="461"/>
      <c r="G52" s="611"/>
      <c r="H52" s="462"/>
      <c r="I52" s="612"/>
      <c r="J52" s="542"/>
    </row>
    <row r="53" spans="1:10" ht="18" customHeight="1" thickTop="1" x14ac:dyDescent="0.2">
      <c r="A53" s="503"/>
      <c r="C53" s="532"/>
      <c r="F53" s="538"/>
      <c r="G53" s="603"/>
      <c r="I53" s="4"/>
      <c r="J53" s="500"/>
    </row>
    <row r="54" spans="1:10" ht="18" customHeight="1" x14ac:dyDescent="0.2">
      <c r="A54" s="503"/>
      <c r="B54" s="556" t="s">
        <v>181</v>
      </c>
      <c r="C54" s="531" t="str">
        <f>'SPOCZNIK - DANE'!H13</f>
        <v>Obciążenia</v>
      </c>
      <c r="D54" s="512"/>
      <c r="E54" s="512"/>
      <c r="F54" s="537" t="s">
        <v>449</v>
      </c>
      <c r="G54" s="604"/>
      <c r="I54" s="4"/>
      <c r="J54" s="500"/>
    </row>
    <row r="55" spans="1:10" ht="18" customHeight="1" x14ac:dyDescent="0.2">
      <c r="A55" s="503"/>
      <c r="B55" s="505"/>
      <c r="C55" s="532" t="str">
        <f>'SPOCZNIK - DANE'!H14</f>
        <v>Obc. stałe</v>
      </c>
      <c r="D55" s="532"/>
      <c r="E55" s="532"/>
      <c r="F55" s="537" t="s">
        <v>449</v>
      </c>
      <c r="G55" s="605">
        <f>'SPOCZNIK - DANE'!K14</f>
        <v>0</v>
      </c>
      <c r="H55" s="606" t="str">
        <f>'SPOCZNIK - DANE'!L14</f>
        <v>kN/m2 (x 1,35)</v>
      </c>
      <c r="I55" s="4"/>
      <c r="J55" s="500"/>
    </row>
    <row r="56" spans="1:10" ht="18" customHeight="1" x14ac:dyDescent="0.2">
      <c r="A56" s="503"/>
      <c r="B56" s="505"/>
      <c r="C56" s="532" t="str">
        <f>'SPOCZNIK - DANE'!H15</f>
        <v>Obc. zmienne</v>
      </c>
      <c r="D56" s="532"/>
      <c r="E56" s="512"/>
      <c r="F56" s="537" t="s">
        <v>449</v>
      </c>
      <c r="G56" s="605">
        <f>'SPOCZNIK - DANE'!K15</f>
        <v>5</v>
      </c>
      <c r="H56" s="606" t="str">
        <f>'SPOCZNIK - DANE'!L15</f>
        <v>kN/m2 (x 1,5)</v>
      </c>
      <c r="I56" s="4"/>
      <c r="J56" s="500"/>
    </row>
    <row r="57" spans="1:10" ht="18" customHeight="1" x14ac:dyDescent="0.2">
      <c r="A57" s="503"/>
      <c r="B57" s="505"/>
      <c r="C57" s="532" t="str">
        <f>'SPOCZNIK - DANE'!H16</f>
        <v xml:space="preserve">Beton </v>
      </c>
      <c r="D57" s="532"/>
      <c r="E57" s="512"/>
      <c r="F57" s="537" t="s">
        <v>449</v>
      </c>
      <c r="G57" s="605">
        <f>'SPOCZNIK - DANE'!K16</f>
        <v>25</v>
      </c>
      <c r="H57" s="606" t="str">
        <f>'SPOCZNIK - DANE'!L16</f>
        <v>kN/m3 (x 1,35)</v>
      </c>
      <c r="I57" s="4"/>
      <c r="J57" s="500"/>
    </row>
    <row r="58" spans="1:10" ht="18" customHeight="1" thickBot="1" x14ac:dyDescent="0.25">
      <c r="A58" s="541"/>
      <c r="B58" s="459"/>
      <c r="C58" s="460"/>
      <c r="D58" s="460"/>
      <c r="E58" s="607"/>
      <c r="F58" s="461"/>
      <c r="G58" s="608"/>
      <c r="H58" s="462"/>
      <c r="I58" s="609"/>
      <c r="J58" s="542"/>
    </row>
    <row r="59" spans="1:10" ht="18" customHeight="1" thickTop="1" x14ac:dyDescent="0.2">
      <c r="A59" s="971"/>
      <c r="B59" s="959"/>
      <c r="C59" s="960"/>
      <c r="D59" s="960"/>
      <c r="E59" s="972"/>
      <c r="F59" s="961"/>
      <c r="G59" s="973"/>
      <c r="H59" s="964"/>
      <c r="I59" s="974"/>
      <c r="J59" s="965"/>
    </row>
    <row r="60" spans="1:10" ht="18" customHeight="1" x14ac:dyDescent="0.2">
      <c r="A60" s="503"/>
      <c r="B60" s="556" t="s">
        <v>191</v>
      </c>
      <c r="C60" s="531" t="str">
        <f>'SPOCZNIK - DANE'!H23</f>
        <v>Produkt</v>
      </c>
      <c r="D60" s="532"/>
      <c r="E60" s="512"/>
      <c r="F60" s="538"/>
      <c r="G60" s="604"/>
      <c r="I60" s="4"/>
      <c r="J60" s="500"/>
    </row>
    <row r="61" spans="1:10" ht="18" customHeight="1" x14ac:dyDescent="0.2">
      <c r="A61" s="503"/>
      <c r="B61" s="505"/>
      <c r="C61" s="532" t="str">
        <f>'SPOCZNIK - DANE'!H24</f>
        <v>Podparcie spocznika</v>
      </c>
      <c r="D61" s="532"/>
      <c r="E61" s="512"/>
      <c r="F61" s="537" t="s">
        <v>449</v>
      </c>
      <c r="G61" s="975" t="str">
        <f>'SPOCZNIK - DANE'!K24</f>
        <v>Typ P-V+V</v>
      </c>
      <c r="I61" s="4"/>
      <c r="J61" s="500"/>
    </row>
    <row r="62" spans="1:10" ht="18" customHeight="1" x14ac:dyDescent="0.2">
      <c r="A62" s="503"/>
      <c r="B62" s="505"/>
      <c r="C62" s="1189" t="str">
        <f>'SPOCZNIK - DANE'!H25</f>
        <v>Połączenie bieg - spocznik (patrz "Bieg schodowy")</v>
      </c>
      <c r="D62" s="1189"/>
      <c r="E62" s="512"/>
      <c r="F62" s="537" t="s">
        <v>449</v>
      </c>
      <c r="G62" s="604" t="str">
        <f>'SPOCZNIK - DANE'!K25</f>
        <v>Typ F</v>
      </c>
      <c r="I62" s="4"/>
      <c r="J62" s="500"/>
    </row>
    <row r="63" spans="1:10" ht="18" customHeight="1" x14ac:dyDescent="0.2">
      <c r="A63" s="503"/>
      <c r="B63" s="505"/>
      <c r="C63" s="1189"/>
      <c r="D63" s="1189"/>
      <c r="E63" s="512"/>
      <c r="F63" s="537"/>
      <c r="G63" s="604"/>
      <c r="I63" s="4"/>
      <c r="J63" s="500"/>
    </row>
    <row r="64" spans="1:10" ht="18" customHeight="1" x14ac:dyDescent="0.2">
      <c r="A64" s="503"/>
      <c r="B64" s="505"/>
      <c r="C64" s="532" t="str">
        <f>'SPOCZNIK - DANE'!H27</f>
        <v>Dł. konsoli</v>
      </c>
      <c r="D64" s="532"/>
      <c r="E64" s="538" t="str">
        <f>IF(C64="","",'SPOCZNIK - DANE'!J27)</f>
        <v>[LK]</v>
      </c>
      <c r="F64" s="537" t="s">
        <v>449</v>
      </c>
      <c r="G64" s="605">
        <f>'SPOCZNIK - DANE'!K27</f>
        <v>13</v>
      </c>
      <c r="H64" s="7" t="str">
        <f>'SPOCZNIK - DANE'!L27</f>
        <v>cm</v>
      </c>
      <c r="I64" s="4"/>
      <c r="J64" s="500"/>
    </row>
    <row r="65" spans="1:10" ht="18" customHeight="1" x14ac:dyDescent="0.2">
      <c r="A65" s="503"/>
      <c r="B65" s="505"/>
      <c r="C65" s="532" t="str">
        <f>'SPOCZNIK - DANE'!H28</f>
        <v>Szer. biegu</v>
      </c>
      <c r="D65" s="532"/>
      <c r="E65" s="538" t="str">
        <f>'SPOCZNIK - DANE'!J28</f>
        <v>[LB]</v>
      </c>
      <c r="F65" s="537" t="s">
        <v>449</v>
      </c>
      <c r="G65" s="605">
        <f>'SPOCZNIK - DANE'!K28</f>
        <v>101.5</v>
      </c>
      <c r="H65" s="7" t="str">
        <f>'SPOCZNIK - DANE'!L28</f>
        <v>cm</v>
      </c>
      <c r="I65" s="4"/>
      <c r="J65" s="500"/>
    </row>
    <row r="66" spans="1:10" ht="18" customHeight="1" x14ac:dyDescent="0.2">
      <c r="A66" s="503"/>
      <c r="B66" s="505"/>
      <c r="C66" s="532" t="str">
        <f>'SPOCZNIK - DANE'!H29</f>
        <v>Wys. konsoli</v>
      </c>
      <c r="D66" s="532"/>
      <c r="E66" s="538" t="str">
        <f>IF(C66="","",'SPOCZNIK - DANE'!J29)</f>
        <v>[HK]</v>
      </c>
      <c r="F66" s="537" t="s">
        <v>449</v>
      </c>
      <c r="G66" s="605">
        <f>'SPOCZNIK - DANE'!K29</f>
        <v>12</v>
      </c>
      <c r="H66" s="7" t="str">
        <f>'SPOCZNIK - DANE'!L29</f>
        <v>cm</v>
      </c>
      <c r="J66" s="500"/>
    </row>
    <row r="67" spans="1:10" ht="18" customHeight="1" x14ac:dyDescent="0.2">
      <c r="A67" s="503"/>
      <c r="B67" s="505"/>
      <c r="C67" s="512"/>
      <c r="D67" s="512"/>
      <c r="E67" s="512"/>
      <c r="F67" s="538"/>
      <c r="G67" s="604"/>
      <c r="J67" s="500"/>
    </row>
    <row r="68" spans="1:10" ht="20.100000000000001" customHeight="1" x14ac:dyDescent="0.2">
      <c r="A68" s="552"/>
      <c r="B68" s="464"/>
      <c r="C68" s="464"/>
      <c r="D68" s="464"/>
      <c r="E68" s="968"/>
      <c r="F68" s="968"/>
      <c r="G68" s="969"/>
      <c r="H68" s="970"/>
      <c r="I68" s="465"/>
      <c r="J68" s="553"/>
    </row>
    <row r="69" spans="1:10" ht="20.100000000000001" customHeight="1" x14ac:dyDescent="0.2">
      <c r="A69" s="1136" t="str">
        <f>Texte_Sprachen!B133</f>
        <v>Geometria, schemat statyczny i rozkład obciążeń</v>
      </c>
      <c r="B69" s="1137"/>
      <c r="C69" s="1137"/>
      <c r="D69" s="1137"/>
      <c r="E69" s="1137"/>
      <c r="F69" s="1137"/>
      <c r="G69" s="1137"/>
      <c r="H69" s="1137"/>
      <c r="I69" s="1137"/>
      <c r="J69" s="1138"/>
    </row>
    <row r="70" spans="1:10" ht="20.100000000000001" customHeight="1" x14ac:dyDescent="0.2">
      <c r="A70" s="904"/>
      <c r="B70" s="905"/>
      <c r="C70" s="905"/>
      <c r="D70" s="905"/>
      <c r="E70" s="906"/>
      <c r="F70" s="906"/>
      <c r="G70" s="907"/>
      <c r="H70" s="908"/>
      <c r="I70" s="909"/>
      <c r="J70" s="910"/>
    </row>
    <row r="71" spans="1:10" ht="20.100000000000001" customHeight="1" x14ac:dyDescent="0.2">
      <c r="A71" s="904"/>
      <c r="B71" s="905"/>
      <c r="C71" s="905"/>
      <c r="D71" s="905"/>
      <c r="E71" s="906"/>
      <c r="F71" s="906"/>
      <c r="G71" s="907"/>
      <c r="H71" s="908"/>
      <c r="I71" s="909"/>
      <c r="J71" s="910"/>
    </row>
    <row r="72" spans="1:10" ht="20.100000000000001" customHeight="1" x14ac:dyDescent="0.2">
      <c r="A72" s="904"/>
      <c r="B72" s="905"/>
      <c r="C72" s="905"/>
      <c r="D72" s="905"/>
      <c r="E72" s="906"/>
      <c r="F72" s="906"/>
      <c r="G72" s="907"/>
      <c r="H72" s="908"/>
      <c r="I72" s="909"/>
      <c r="J72" s="910"/>
    </row>
    <row r="73" spans="1:10" ht="20.100000000000001" customHeight="1" x14ac:dyDescent="0.2">
      <c r="A73" s="904"/>
      <c r="B73" s="905"/>
      <c r="C73" s="905"/>
      <c r="D73" s="905"/>
      <c r="E73" s="906"/>
      <c r="F73" s="906"/>
      <c r="G73" s="907"/>
      <c r="H73" s="908"/>
      <c r="I73" s="909"/>
      <c r="J73" s="910"/>
    </row>
    <row r="74" spans="1:10" ht="20.100000000000001" customHeight="1" x14ac:dyDescent="0.2">
      <c r="A74" s="904"/>
      <c r="B74" s="905"/>
      <c r="C74" s="905"/>
      <c r="D74" s="905"/>
      <c r="E74" s="906"/>
      <c r="F74" s="906"/>
      <c r="G74" s="907"/>
      <c r="H74" s="908"/>
      <c r="I74" s="909"/>
      <c r="J74" s="910"/>
    </row>
    <row r="75" spans="1:10" ht="20.100000000000001" customHeight="1" x14ac:dyDescent="0.2">
      <c r="A75" s="904"/>
      <c r="B75" s="905"/>
      <c r="C75" s="905"/>
      <c r="D75" s="905"/>
      <c r="E75" s="906"/>
      <c r="F75" s="906"/>
      <c r="G75" s="907"/>
      <c r="H75" s="908"/>
      <c r="I75" s="909"/>
      <c r="J75" s="910"/>
    </row>
    <row r="76" spans="1:10" ht="20.100000000000001" customHeight="1" x14ac:dyDescent="0.2">
      <c r="A76" s="904"/>
      <c r="B76" s="905"/>
      <c r="C76" s="905"/>
      <c r="D76" s="905"/>
      <c r="E76" s="906"/>
      <c r="F76" s="906"/>
      <c r="G76" s="907"/>
      <c r="H76" s="908"/>
      <c r="I76" s="909"/>
      <c r="J76" s="910"/>
    </row>
    <row r="77" spans="1:10" ht="20.100000000000001" customHeight="1" x14ac:dyDescent="0.2">
      <c r="A77" s="904"/>
      <c r="B77" s="905"/>
      <c r="C77" s="905"/>
      <c r="D77" s="905"/>
      <c r="E77" s="906"/>
      <c r="F77" s="906"/>
      <c r="G77" s="907"/>
      <c r="H77" s="908"/>
      <c r="I77" s="909"/>
      <c r="J77" s="910"/>
    </row>
    <row r="78" spans="1:10" ht="20.100000000000001" customHeight="1" x14ac:dyDescent="0.2">
      <c r="A78" s="904"/>
      <c r="B78" s="905"/>
      <c r="C78" s="905"/>
      <c r="D78" s="905"/>
      <c r="E78" s="906"/>
      <c r="F78" s="906"/>
      <c r="G78" s="907"/>
      <c r="H78" s="908"/>
      <c r="I78" s="909"/>
      <c r="J78" s="910"/>
    </row>
    <row r="79" spans="1:10" ht="20.100000000000001" customHeight="1" x14ac:dyDescent="0.2">
      <c r="A79" s="904"/>
      <c r="B79" s="905"/>
      <c r="C79" s="905"/>
      <c r="D79" s="905"/>
      <c r="E79" s="906"/>
      <c r="F79" s="906"/>
      <c r="G79" s="907"/>
      <c r="H79" s="908"/>
      <c r="I79" s="909"/>
      <c r="J79" s="910"/>
    </row>
    <row r="80" spans="1:10" ht="20.100000000000001" customHeight="1" x14ac:dyDescent="0.2">
      <c r="A80" s="904"/>
      <c r="B80" s="905"/>
      <c r="C80" s="905"/>
      <c r="D80" s="905"/>
      <c r="E80" s="906"/>
      <c r="F80" s="906"/>
      <c r="G80" s="907"/>
      <c r="H80" s="908"/>
      <c r="I80" s="909"/>
      <c r="J80" s="910"/>
    </row>
    <row r="81" spans="1:10" ht="20.100000000000001" customHeight="1" x14ac:dyDescent="0.2">
      <c r="A81" s="904"/>
      <c r="B81" s="905"/>
      <c r="C81" s="905"/>
      <c r="D81" s="905"/>
      <c r="E81" s="906"/>
      <c r="F81" s="906"/>
      <c r="G81" s="907"/>
      <c r="H81" s="908"/>
      <c r="I81" s="909"/>
      <c r="J81" s="910"/>
    </row>
    <row r="82" spans="1:10" ht="20.100000000000001" customHeight="1" x14ac:dyDescent="0.2">
      <c r="A82" s="904"/>
      <c r="B82" s="905"/>
      <c r="C82" s="905"/>
      <c r="D82" s="905"/>
      <c r="E82" s="906"/>
      <c r="F82" s="906"/>
      <c r="G82" s="907"/>
      <c r="H82" s="908"/>
      <c r="I82" s="909"/>
      <c r="J82" s="910"/>
    </row>
    <row r="83" spans="1:10" ht="20.100000000000001" customHeight="1" x14ac:dyDescent="0.2">
      <c r="A83" s="904"/>
      <c r="B83" s="905"/>
      <c r="C83" s="905"/>
      <c r="D83" s="905"/>
      <c r="E83" s="906"/>
      <c r="F83" s="906"/>
      <c r="G83" s="907"/>
      <c r="H83" s="908"/>
      <c r="I83" s="909"/>
      <c r="J83" s="910"/>
    </row>
    <row r="84" spans="1:10" ht="20.100000000000001" customHeight="1" x14ac:dyDescent="0.2">
      <c r="A84" s="904"/>
      <c r="B84" s="905"/>
      <c r="C84" s="905"/>
      <c r="D84" s="905"/>
      <c r="E84" s="906"/>
      <c r="F84" s="906"/>
      <c r="G84" s="907"/>
      <c r="H84" s="908"/>
      <c r="I84" s="909"/>
      <c r="J84" s="910"/>
    </row>
    <row r="85" spans="1:10" ht="20.100000000000001" customHeight="1" x14ac:dyDescent="0.2">
      <c r="A85" s="904"/>
      <c r="B85" s="905"/>
      <c r="C85" s="905"/>
      <c r="D85" s="905"/>
      <c r="E85" s="906"/>
      <c r="F85" s="906"/>
      <c r="G85" s="907"/>
      <c r="H85" s="908"/>
      <c r="I85" s="909"/>
      <c r="J85" s="910"/>
    </row>
    <row r="86" spans="1:10" ht="20.100000000000001" customHeight="1" x14ac:dyDescent="0.2">
      <c r="A86" s="904"/>
      <c r="B86" s="905"/>
      <c r="C86" s="905"/>
      <c r="D86" s="905"/>
      <c r="E86" s="906"/>
      <c r="F86" s="906"/>
      <c r="G86" s="907"/>
      <c r="H86" s="908"/>
      <c r="I86" s="909"/>
      <c r="J86" s="910"/>
    </row>
    <row r="87" spans="1:10" ht="20.100000000000001" customHeight="1" x14ac:dyDescent="0.2">
      <c r="A87" s="904"/>
      <c r="B87" s="905"/>
      <c r="C87" s="905"/>
      <c r="D87" s="905"/>
      <c r="E87" s="906"/>
      <c r="F87" s="906"/>
      <c r="G87" s="907"/>
      <c r="H87" s="908"/>
      <c r="I87" s="909"/>
      <c r="J87" s="910"/>
    </row>
    <row r="88" spans="1:10" ht="20.100000000000001" customHeight="1" x14ac:dyDescent="0.2">
      <c r="A88" s="904"/>
      <c r="B88" s="905"/>
      <c r="C88" s="905"/>
      <c r="D88" s="905"/>
      <c r="E88" s="906"/>
      <c r="F88" s="906"/>
      <c r="G88" s="907"/>
      <c r="H88" s="908"/>
      <c r="I88" s="909"/>
      <c r="J88" s="910"/>
    </row>
    <row r="89" spans="1:10" ht="20.100000000000001" customHeight="1" x14ac:dyDescent="0.2">
      <c r="A89" s="904"/>
      <c r="B89" s="905"/>
      <c r="C89" s="905"/>
      <c r="D89" s="905"/>
      <c r="E89" s="906"/>
      <c r="F89" s="906"/>
      <c r="G89" s="907"/>
      <c r="H89" s="908"/>
      <c r="I89" s="909"/>
      <c r="J89" s="910"/>
    </row>
    <row r="90" spans="1:10" ht="20.100000000000001" customHeight="1" x14ac:dyDescent="0.2">
      <c r="A90" s="904"/>
      <c r="B90" s="905"/>
      <c r="C90" s="905"/>
      <c r="D90" s="905"/>
      <c r="E90" s="906"/>
      <c r="F90" s="906"/>
      <c r="G90" s="907"/>
      <c r="H90" s="908"/>
      <c r="I90" s="909"/>
      <c r="J90" s="910"/>
    </row>
    <row r="91" spans="1:10" ht="20.100000000000001" customHeight="1" x14ac:dyDescent="0.2">
      <c r="A91" s="904"/>
      <c r="B91" s="905"/>
      <c r="C91" s="905"/>
      <c r="D91" s="905"/>
      <c r="E91" s="906"/>
      <c r="F91" s="906"/>
      <c r="G91" s="907"/>
      <c r="H91" s="908"/>
      <c r="I91" s="909"/>
      <c r="J91" s="910"/>
    </row>
    <row r="92" spans="1:10" ht="20.100000000000001" customHeight="1" x14ac:dyDescent="0.2">
      <c r="A92" s="904"/>
      <c r="B92" s="905"/>
      <c r="C92" s="905"/>
      <c r="D92" s="905"/>
      <c r="E92" s="906"/>
      <c r="F92" s="906"/>
      <c r="G92" s="907"/>
      <c r="H92" s="908"/>
      <c r="I92" s="909"/>
      <c r="J92" s="910"/>
    </row>
    <row r="93" spans="1:10" ht="20.100000000000001" customHeight="1" x14ac:dyDescent="0.2">
      <c r="A93" s="904"/>
      <c r="B93" s="905"/>
      <c r="C93" s="905"/>
      <c r="D93" s="905"/>
      <c r="E93" s="906"/>
      <c r="F93" s="906"/>
      <c r="G93" s="907"/>
      <c r="H93" s="908"/>
      <c r="I93" s="909"/>
      <c r="J93" s="910"/>
    </row>
    <row r="94" spans="1:10" ht="20.100000000000001" customHeight="1" x14ac:dyDescent="0.2">
      <c r="A94" s="904"/>
      <c r="B94" s="905"/>
      <c r="C94" s="905"/>
      <c r="D94" s="905"/>
      <c r="E94" s="906"/>
      <c r="F94" s="906"/>
      <c r="G94" s="907"/>
      <c r="H94" s="908"/>
      <c r="I94" s="909"/>
      <c r="J94" s="910"/>
    </row>
    <row r="95" spans="1:10" ht="20.100000000000001" customHeight="1" x14ac:dyDescent="0.2">
      <c r="A95" s="904"/>
      <c r="B95" s="905"/>
      <c r="C95" s="905"/>
      <c r="D95" s="905"/>
      <c r="E95" s="906"/>
      <c r="F95" s="906"/>
      <c r="G95" s="907"/>
      <c r="H95" s="908"/>
      <c r="I95" s="909"/>
      <c r="J95" s="910"/>
    </row>
    <row r="96" spans="1:10" ht="20.100000000000001" customHeight="1" x14ac:dyDescent="0.2">
      <c r="A96" s="904"/>
      <c r="B96" s="905"/>
      <c r="C96" s="905"/>
      <c r="D96" s="905"/>
      <c r="E96" s="906"/>
      <c r="F96" s="906"/>
      <c r="G96" s="907"/>
      <c r="H96" s="908"/>
      <c r="I96" s="909"/>
      <c r="J96" s="910"/>
    </row>
    <row r="97" spans="1:10" ht="20.100000000000001" customHeight="1" x14ac:dyDescent="0.2">
      <c r="A97" s="904"/>
      <c r="B97" s="905"/>
      <c r="C97" s="905"/>
      <c r="D97" s="905"/>
      <c r="E97" s="906"/>
      <c r="F97" s="906"/>
      <c r="G97" s="907"/>
      <c r="H97" s="908"/>
      <c r="I97" s="909"/>
      <c r="J97" s="910"/>
    </row>
    <row r="98" spans="1:10" ht="20.100000000000001" customHeight="1" x14ac:dyDescent="0.2">
      <c r="A98" s="904"/>
      <c r="B98" s="905"/>
      <c r="C98" s="905"/>
      <c r="D98" s="905"/>
      <c r="E98" s="906"/>
      <c r="F98" s="906"/>
      <c r="G98" s="907"/>
      <c r="H98" s="908"/>
      <c r="I98" s="909"/>
      <c r="J98" s="910"/>
    </row>
    <row r="99" spans="1:10" ht="20.100000000000001" customHeight="1" x14ac:dyDescent="0.2">
      <c r="A99" s="904"/>
      <c r="B99" s="905"/>
      <c r="C99" s="905"/>
      <c r="D99" s="905"/>
      <c r="E99" s="906"/>
      <c r="F99" s="906"/>
      <c r="G99" s="907"/>
      <c r="H99" s="908"/>
      <c r="I99" s="909"/>
      <c r="J99" s="910"/>
    </row>
    <row r="100" spans="1:10" ht="20.100000000000001" customHeight="1" x14ac:dyDescent="0.2">
      <c r="A100" s="904"/>
      <c r="B100" s="905"/>
      <c r="C100" s="905"/>
      <c r="D100" s="905"/>
      <c r="E100" s="906"/>
      <c r="F100" s="906"/>
      <c r="G100" s="907"/>
      <c r="H100" s="908"/>
      <c r="I100" s="909"/>
      <c r="J100" s="910"/>
    </row>
    <row r="101" spans="1:10" ht="20.100000000000001" customHeight="1" x14ac:dyDescent="0.2">
      <c r="A101" s="911"/>
      <c r="B101" s="9"/>
      <c r="C101" s="9"/>
      <c r="D101" s="9"/>
      <c r="E101" s="912"/>
      <c r="F101" s="912"/>
      <c r="G101" s="913"/>
      <c r="H101" s="914"/>
      <c r="I101" s="915"/>
      <c r="J101" s="916"/>
    </row>
    <row r="102" spans="1:10" ht="20.100000000000001" customHeight="1" x14ac:dyDescent="0.2">
      <c r="A102" s="1136" t="str">
        <f>Texte_Sprachen!B116</f>
        <v>Wyniki</v>
      </c>
      <c r="B102" s="1137"/>
      <c r="C102" s="1137"/>
      <c r="D102" s="1137"/>
      <c r="E102" s="1137"/>
      <c r="F102" s="1137"/>
      <c r="G102" s="1137"/>
      <c r="H102" s="1137"/>
      <c r="I102" s="1137"/>
      <c r="J102" s="1138"/>
    </row>
    <row r="103" spans="1:10" ht="18.75" customHeight="1" x14ac:dyDescent="0.2">
      <c r="A103" s="619"/>
      <c r="B103" s="618"/>
      <c r="C103" s="618"/>
      <c r="D103" s="618"/>
      <c r="E103" s="618"/>
      <c r="F103" s="618"/>
      <c r="G103" s="618"/>
      <c r="H103" s="889"/>
      <c r="I103" s="889"/>
      <c r="J103" s="499"/>
    </row>
    <row r="104" spans="1:10" ht="18.75" customHeight="1" x14ac:dyDescent="0.2">
      <c r="A104" s="813"/>
      <c r="B104" s="814" t="s">
        <v>208</v>
      </c>
      <c r="C104" s="557" t="str">
        <f>Texte_Sprachen!B122</f>
        <v>Założone obciążenia</v>
      </c>
      <c r="D104" s="4"/>
      <c r="E104" s="4"/>
      <c r="F104" s="4"/>
      <c r="G104" s="888"/>
      <c r="H104" s="890" t="str">
        <f>Texte_Sprachen!B160</f>
        <v>Char.</v>
      </c>
      <c r="I104" s="890" t="str">
        <f>Texte_Sprachen!B161</f>
        <v>Obl.</v>
      </c>
      <c r="J104" s="807"/>
    </row>
    <row r="105" spans="1:10" ht="18.75" customHeight="1" x14ac:dyDescent="0.2">
      <c r="A105" s="569"/>
      <c r="B105" s="1121" t="str">
        <f>"* = "&amp;Texte_Sprachen!B157</f>
        <v>* = Bieg</v>
      </c>
      <c r="C105" s="808" t="str">
        <f>'BIEG - DANE'!I17</f>
        <v>Ciężar własny betonu</v>
      </c>
      <c r="D105" s="795"/>
      <c r="E105" s="795"/>
      <c r="F105" s="955" t="s">
        <v>979</v>
      </c>
      <c r="G105" s="885" t="s">
        <v>449</v>
      </c>
      <c r="H105" s="897">
        <f>Lastermittlung_Podest!F28/1.35</f>
        <v>15.624999999999998</v>
      </c>
      <c r="I105" s="882">
        <f>H105*1.35</f>
        <v>21.09375</v>
      </c>
      <c r="J105" s="878" t="s">
        <v>185</v>
      </c>
    </row>
    <row r="106" spans="1:10" ht="18.75" customHeight="1" x14ac:dyDescent="0.2">
      <c r="A106" s="569"/>
      <c r="B106" s="1122"/>
      <c r="C106" s="809" t="str">
        <f>Texte_Sprachen!B121</f>
        <v>Obciążenia stałe</v>
      </c>
      <c r="D106" s="4"/>
      <c r="E106" s="4"/>
      <c r="F106" s="956" t="s">
        <v>980</v>
      </c>
      <c r="G106" s="886" t="s">
        <v>449</v>
      </c>
      <c r="H106" s="898">
        <f>Lastermittlung_Podest!F21/1.35</f>
        <v>0</v>
      </c>
      <c r="I106" s="883">
        <f>H106*1.35</f>
        <v>0</v>
      </c>
      <c r="J106" s="878" t="s">
        <v>185</v>
      </c>
    </row>
    <row r="107" spans="1:10" ht="18.75" customHeight="1" x14ac:dyDescent="0.2">
      <c r="A107" s="569"/>
      <c r="B107" s="1122"/>
      <c r="C107" s="809" t="str">
        <f>Texte_Sprachen!B118</f>
        <v>Obciążenie zmienne na spoczniku</v>
      </c>
      <c r="D107" s="4"/>
      <c r="E107" s="4"/>
      <c r="F107" s="956" t="s">
        <v>981</v>
      </c>
      <c r="G107" s="886" t="s">
        <v>449</v>
      </c>
      <c r="H107" s="898">
        <f>Lastermittlung_Podest!G21/1.5</f>
        <v>12.5</v>
      </c>
      <c r="I107" s="883">
        <f>H107*1.5</f>
        <v>18.75</v>
      </c>
      <c r="J107" s="878" t="s">
        <v>185</v>
      </c>
    </row>
    <row r="108" spans="1:10" ht="18.75" customHeight="1" x14ac:dyDescent="0.2">
      <c r="A108" s="569"/>
      <c r="B108" s="1123"/>
      <c r="C108" s="810" t="str">
        <f>Texte_Sprachen!B126</f>
        <v>Obciążenie całkowite - spocznik</v>
      </c>
      <c r="D108" s="797"/>
      <c r="E108" s="797"/>
      <c r="F108" s="957" t="s">
        <v>982</v>
      </c>
      <c r="G108" s="887" t="s">
        <v>449</v>
      </c>
      <c r="H108" s="899">
        <f>SUM(H105:H107)</f>
        <v>28.125</v>
      </c>
      <c r="I108" s="884">
        <f>SUM(I105:I107)</f>
        <v>39.84375</v>
      </c>
      <c r="J108" s="881" t="s">
        <v>185</v>
      </c>
    </row>
    <row r="109" spans="1:10" ht="18.75" customHeight="1" x14ac:dyDescent="0.2">
      <c r="A109" s="812"/>
      <c r="B109" s="1121" t="str">
        <f>"** = "&amp;Texte_Sprachen!B156</f>
        <v>** = Spocznik</v>
      </c>
      <c r="C109" s="808" t="str">
        <f>Texte_Sprachen!B124</f>
        <v>Cieżar własny - bieg schodowy</v>
      </c>
      <c r="D109" s="795"/>
      <c r="E109" s="795"/>
      <c r="F109" s="956" t="s">
        <v>983</v>
      </c>
      <c r="G109" s="885" t="s">
        <v>449</v>
      </c>
      <c r="H109" s="897">
        <f>'SPOCZNIK - DANE'!M21*2</f>
        <v>56.002344847417383</v>
      </c>
      <c r="I109" s="882">
        <f>H109*1.35</f>
        <v>75.603165544013478</v>
      </c>
      <c r="J109" s="878" t="s">
        <v>185</v>
      </c>
    </row>
    <row r="110" spans="1:10" ht="18.75" customHeight="1" x14ac:dyDescent="0.2">
      <c r="A110" s="569"/>
      <c r="B110" s="1122"/>
      <c r="C110" s="809" t="str">
        <f>Texte_Sprachen!B99</f>
        <v>Obciążenie zmienne, bieg</v>
      </c>
      <c r="D110" s="4"/>
      <c r="E110" s="4"/>
      <c r="F110" s="956" t="s">
        <v>984</v>
      </c>
      <c r="G110" s="886" t="s">
        <v>449</v>
      </c>
      <c r="H110" s="898">
        <f>I110/1.5</f>
        <v>28.340000000000014</v>
      </c>
      <c r="I110" s="883">
        <f>I111-I109</f>
        <v>42.510000000000019</v>
      </c>
      <c r="J110" s="878" t="s">
        <v>185</v>
      </c>
    </row>
    <row r="111" spans="1:10" ht="18.75" customHeight="1" x14ac:dyDescent="0.2">
      <c r="A111" s="569"/>
      <c r="B111" s="1123"/>
      <c r="C111" s="810" t="str">
        <f>Texte_Sprachen!B125</f>
        <v>Obciążenie całkowite - bieg schodowy</v>
      </c>
      <c r="D111" s="797"/>
      <c r="E111" s="797"/>
      <c r="F111" s="957" t="s">
        <v>985</v>
      </c>
      <c r="G111" s="887" t="s">
        <v>449</v>
      </c>
      <c r="H111" s="899">
        <f>H109+H110</f>
        <v>84.342344847417394</v>
      </c>
      <c r="I111" s="884">
        <f>'SPOCZNIK - DANE'!M20*2</f>
        <v>118.1131655440135</v>
      </c>
      <c r="J111" s="881" t="s">
        <v>185</v>
      </c>
    </row>
    <row r="112" spans="1:10" ht="18.75" customHeight="1" x14ac:dyDescent="0.2">
      <c r="A112" s="812"/>
      <c r="B112" s="1121" t="str">
        <f>"*** = "&amp;Texte_Sprachen!B158</f>
        <v>*** = całkowite</v>
      </c>
      <c r="C112" s="808" t="str">
        <f>Texte_Sprachen!B91</f>
        <v>Obciążenia stałe</v>
      </c>
      <c r="D112" s="795"/>
      <c r="E112" s="795"/>
      <c r="F112" s="956" t="s">
        <v>986</v>
      </c>
      <c r="G112" s="885" t="s">
        <v>449</v>
      </c>
      <c r="H112" s="897">
        <f>H105+H106+H109</f>
        <v>71.627344847417376</v>
      </c>
      <c r="I112" s="882">
        <f>H112*1.35</f>
        <v>96.696915544013464</v>
      </c>
      <c r="J112" s="878" t="s">
        <v>185</v>
      </c>
    </row>
    <row r="113" spans="1:10" ht="18.75" customHeight="1" x14ac:dyDescent="0.2">
      <c r="A113" s="569"/>
      <c r="B113" s="1122"/>
      <c r="C113" s="809" t="str">
        <f>Texte_Sprachen!B92</f>
        <v>Obciążenia zmienne</v>
      </c>
      <c r="D113" s="4"/>
      <c r="E113" s="4"/>
      <c r="F113" s="956" t="s">
        <v>987</v>
      </c>
      <c r="G113" s="886" t="s">
        <v>449</v>
      </c>
      <c r="H113" s="898">
        <f>H107+H110</f>
        <v>40.840000000000018</v>
      </c>
      <c r="I113" s="883">
        <f>H113*1.5</f>
        <v>61.260000000000026</v>
      </c>
      <c r="J113" s="878" t="s">
        <v>185</v>
      </c>
    </row>
    <row r="114" spans="1:10" ht="18.75" customHeight="1" x14ac:dyDescent="0.2">
      <c r="A114" s="569"/>
      <c r="B114" s="1123"/>
      <c r="C114" s="810" t="str">
        <f>Texte_Sprachen!B90</f>
        <v>Obciążenie całkowite</v>
      </c>
      <c r="D114" s="797"/>
      <c r="E114" s="797"/>
      <c r="F114" s="957" t="s">
        <v>988</v>
      </c>
      <c r="G114" s="887" t="s">
        <v>449</v>
      </c>
      <c r="H114" s="899">
        <f>H111+H108</f>
        <v>112.46734484741739</v>
      </c>
      <c r="I114" s="884">
        <f>I108+I111</f>
        <v>157.9569155440135</v>
      </c>
      <c r="J114" s="881" t="s">
        <v>185</v>
      </c>
    </row>
    <row r="115" spans="1:10" ht="18.75" customHeight="1" thickBot="1" x14ac:dyDescent="0.25">
      <c r="A115" s="811"/>
      <c r="B115" s="609"/>
      <c r="C115" s="609"/>
      <c r="D115" s="609"/>
      <c r="E115" s="609"/>
      <c r="F115" s="609"/>
      <c r="G115" s="609"/>
      <c r="H115" s="609"/>
      <c r="I115" s="609"/>
      <c r="J115" s="542"/>
    </row>
    <row r="116" spans="1:10" ht="18.75" customHeight="1" thickTop="1" x14ac:dyDescent="0.2">
      <c r="A116" s="569"/>
      <c r="B116" s="4"/>
      <c r="C116" s="4"/>
      <c r="D116" s="4"/>
      <c r="E116" s="4"/>
      <c r="F116" s="4"/>
      <c r="G116" s="4"/>
      <c r="H116" s="4"/>
      <c r="I116" s="4"/>
      <c r="J116" s="500"/>
    </row>
    <row r="117" spans="1:10" ht="18.75" customHeight="1" x14ac:dyDescent="0.2">
      <c r="A117" s="569"/>
      <c r="B117" s="556" t="s">
        <v>210</v>
      </c>
      <c r="C117" s="565" t="str">
        <f>Texte_Sprachen!B127</f>
        <v>Reakcje podporowe</v>
      </c>
      <c r="D117" s="4"/>
      <c r="E117" s="4"/>
      <c r="F117" s="4"/>
      <c r="G117" s="4"/>
      <c r="H117" s="4"/>
      <c r="I117" s="4"/>
      <c r="J117" s="500"/>
    </row>
    <row r="118" spans="1:10" s="7" customFormat="1" ht="20.100000000000001" customHeight="1" x14ac:dyDescent="0.25">
      <c r="A118" s="564"/>
      <c r="B118" s="567"/>
      <c r="C118" s="557" t="str">
        <f>Texte_Sprachen!B131</f>
        <v>Podparcie przy biegu</v>
      </c>
      <c r="D118" s="557"/>
      <c r="E118" s="557"/>
      <c r="F118" s="566"/>
      <c r="G118" s="567"/>
      <c r="H118" s="567"/>
      <c r="I118" s="567"/>
      <c r="J118" s="568"/>
    </row>
    <row r="119" spans="1:10" ht="18" customHeight="1" x14ac:dyDescent="0.2">
      <c r="A119" s="569"/>
      <c r="B119" s="4"/>
      <c r="C119" s="620" t="str">
        <f>Texte_Sprachen!B130</f>
        <v>Tronsole typu:</v>
      </c>
      <c r="D119" s="571"/>
      <c r="E119" s="621" t="str">
        <f>'SPOCZNIK - DANE'!E47</f>
        <v>2x Typ P-V+V</v>
      </c>
      <c r="J119" s="500"/>
    </row>
    <row r="120" spans="1:10" ht="9" customHeight="1" x14ac:dyDescent="0.2">
      <c r="A120" s="569"/>
      <c r="B120" s="4"/>
      <c r="C120" s="4"/>
      <c r="D120" s="4"/>
      <c r="E120" s="4"/>
      <c r="F120" s="571"/>
      <c r="J120" s="500"/>
    </row>
    <row r="121" spans="1:10" ht="18" customHeight="1" x14ac:dyDescent="0.2">
      <c r="A121" s="569"/>
      <c r="B121" s="4"/>
      <c r="C121" s="559" t="s">
        <v>557</v>
      </c>
      <c r="D121" s="559" t="s">
        <v>449</v>
      </c>
      <c r="E121" s="574">
        <f>'SPOCZNIK - DANE'!E36/2</f>
        <v>49.418838767905676</v>
      </c>
      <c r="F121" s="572" t="str">
        <f>"kN/"&amp;Texte_Sprachen!B103</f>
        <v>kN/Tronsole</v>
      </c>
      <c r="J121" s="500"/>
    </row>
    <row r="122" spans="1:10" ht="18" customHeight="1" x14ac:dyDescent="0.2">
      <c r="A122" s="569"/>
      <c r="B122" s="4"/>
      <c r="C122" s="559" t="s">
        <v>558</v>
      </c>
      <c r="D122" s="559" t="s">
        <v>449</v>
      </c>
      <c r="E122" s="574">
        <f>'SPOCZNIK - DANE'!D49</f>
        <v>106.27848590810127</v>
      </c>
      <c r="F122" s="572" t="str">
        <f>F121</f>
        <v>kN/Tronsole</v>
      </c>
      <c r="J122" s="500"/>
    </row>
    <row r="123" spans="1:10" ht="22.5" customHeight="1" x14ac:dyDescent="0.2">
      <c r="A123" s="569"/>
      <c r="B123" s="4"/>
      <c r="C123" s="559" t="s">
        <v>559</v>
      </c>
      <c r="D123" s="559" t="s">
        <v>449</v>
      </c>
      <c r="E123" s="574">
        <f>IF(E122&gt;=0,Berechnung_Podest!$F$58,IF(E122&lt;0,Berechnung_Podest!$F$59,"n.v."))</f>
        <v>48.09</v>
      </c>
      <c r="F123" s="572" t="str">
        <f>F122</f>
        <v>kN/Tronsole</v>
      </c>
      <c r="I123" s="576"/>
      <c r="J123" s="577"/>
    </row>
    <row r="124" spans="1:10" ht="22.5" customHeight="1" x14ac:dyDescent="0.2">
      <c r="A124" s="569"/>
      <c r="B124" s="4"/>
      <c r="C124" s="794" t="str">
        <f>IF(E123&lt;E122,Texte_Sprachen!B167,"")</f>
        <v>Przekroczono nośność!</v>
      </c>
      <c r="D124" s="587"/>
      <c r="E124" s="597"/>
      <c r="F124" s="572"/>
      <c r="I124" s="576"/>
      <c r="J124" s="577"/>
    </row>
    <row r="125" spans="1:10" ht="22.5" customHeight="1" x14ac:dyDescent="0.2">
      <c r="A125" s="569"/>
      <c r="B125" s="4"/>
      <c r="C125" s="587"/>
      <c r="D125" s="587"/>
      <c r="E125" s="597"/>
      <c r="F125" s="572"/>
      <c r="I125" s="576"/>
      <c r="J125" s="577"/>
    </row>
    <row r="126" spans="1:10" s="7" customFormat="1" ht="20.100000000000001" customHeight="1" x14ac:dyDescent="0.25">
      <c r="A126" s="564"/>
      <c r="B126" s="567"/>
      <c r="C126" s="565" t="str">
        <f>Texte_Sprachen!B132</f>
        <v>Podparcie z tyłu</v>
      </c>
      <c r="D126" s="566"/>
      <c r="E126" s="566"/>
      <c r="F126" s="566"/>
      <c r="G126" s="567"/>
      <c r="H126" s="567"/>
      <c r="I126" s="576"/>
      <c r="J126" s="577"/>
    </row>
    <row r="127" spans="1:10" ht="18" customHeight="1" x14ac:dyDescent="0.2">
      <c r="A127" s="569"/>
      <c r="B127" s="4"/>
      <c r="C127" s="570" t="str">
        <f>Texte_Sprachen!B130</f>
        <v>Tronsole typu:</v>
      </c>
      <c r="D127" s="583"/>
      <c r="E127" s="622" t="str">
        <f>'SPOCZNIK - DANE'!E53</f>
        <v>2x Typ P-V+V</v>
      </c>
      <c r="F127" s="572"/>
      <c r="I127" s="585"/>
      <c r="J127" s="586"/>
    </row>
    <row r="128" spans="1:10" ht="9" customHeight="1" x14ac:dyDescent="0.2">
      <c r="A128" s="569"/>
      <c r="B128" s="4"/>
      <c r="C128" s="587"/>
      <c r="D128" s="587"/>
      <c r="E128" s="587"/>
      <c r="F128" s="623"/>
      <c r="G128" s="4"/>
      <c r="H128" s="588"/>
      <c r="I128" s="585"/>
      <c r="J128" s="586"/>
    </row>
    <row r="129" spans="1:10" ht="18.75" customHeight="1" x14ac:dyDescent="0.2">
      <c r="A129" s="569"/>
      <c r="B129" s="4"/>
      <c r="C129" s="559" t="s">
        <v>557</v>
      </c>
      <c r="D129" s="559" t="s">
        <v>449</v>
      </c>
      <c r="E129" s="574">
        <f>'SPOCZNIK - DANE'!E37/2</f>
        <v>-13.60516634419699</v>
      </c>
      <c r="F129" s="572" t="str">
        <f>"kN/"&amp;Texte_Sprachen!B103</f>
        <v>kN/Tronsole</v>
      </c>
      <c r="I129" s="585"/>
      <c r="J129" s="586"/>
    </row>
    <row r="130" spans="1:10" ht="18.75" customHeight="1" x14ac:dyDescent="0.2">
      <c r="A130" s="569"/>
      <c r="B130" s="4"/>
      <c r="C130" s="559" t="s">
        <v>558</v>
      </c>
      <c r="D130" s="559" t="s">
        <v>449</v>
      </c>
      <c r="E130" s="574">
        <f>'SPOCZNIK - DANE'!D55</f>
        <v>-27.300028136094522</v>
      </c>
      <c r="F130" s="572" t="str">
        <f>F129</f>
        <v>kN/Tronsole</v>
      </c>
      <c r="I130" s="585"/>
      <c r="J130" s="586"/>
    </row>
    <row r="131" spans="1:10" ht="20.100000000000001" customHeight="1" x14ac:dyDescent="0.2">
      <c r="A131" s="569"/>
      <c r="B131" s="4"/>
      <c r="C131" s="559" t="s">
        <v>559</v>
      </c>
      <c r="D131" s="559" t="s">
        <v>449</v>
      </c>
      <c r="E131" s="574">
        <f>IF(E130&gt;=0,Berechnung_Podest!$F$58,IF(E130&lt;0,Berechnung_Podest!$F$59,"n.v."))</f>
        <v>-15</v>
      </c>
      <c r="F131" s="572" t="str">
        <f>F130</f>
        <v>kN/Tronsole</v>
      </c>
      <c r="G131" s="589"/>
      <c r="H131" s="589"/>
      <c r="I131" s="585"/>
      <c r="J131" s="586"/>
    </row>
    <row r="132" spans="1:10" ht="18" customHeight="1" x14ac:dyDescent="0.2">
      <c r="A132" s="569"/>
      <c r="B132" s="4"/>
      <c r="C132" s="794" t="str">
        <f>IF(ABS(E131)&lt;ABS(E130),Texte_Sprachen!B167,"")</f>
        <v>Przekroczono nośność!</v>
      </c>
      <c r="D132" s="4"/>
      <c r="E132" s="4"/>
      <c r="F132" s="4"/>
      <c r="G132" s="5"/>
      <c r="H132" s="4"/>
      <c r="I132" s="4"/>
      <c r="J132" s="500"/>
    </row>
    <row r="133" spans="1:10" ht="18" customHeight="1" x14ac:dyDescent="0.2">
      <c r="A133" s="569"/>
      <c r="B133" s="4"/>
      <c r="C133" s="4"/>
      <c r="D133" s="4"/>
      <c r="E133" s="4"/>
      <c r="F133" s="4"/>
      <c r="H133" s="496"/>
      <c r="I133" s="4"/>
      <c r="J133" s="500"/>
    </row>
    <row r="134" spans="1:10" ht="18" customHeight="1" thickBot="1" x14ac:dyDescent="0.25">
      <c r="A134" s="875"/>
      <c r="B134" s="876"/>
      <c r="C134" s="876"/>
      <c r="D134" s="876"/>
      <c r="E134" s="876"/>
      <c r="F134" s="876"/>
      <c r="G134" s="876"/>
      <c r="H134" s="876"/>
      <c r="I134" s="876"/>
      <c r="J134" s="877"/>
    </row>
    <row r="135" spans="1:10" ht="13.5" thickTop="1" x14ac:dyDescent="0.2">
      <c r="A135" s="873"/>
      <c r="J135" s="500"/>
    </row>
    <row r="136" spans="1:10" x14ac:dyDescent="0.2">
      <c r="A136" s="873"/>
      <c r="C136" s="874" t="str">
        <f>Texte_Sprachen!B101</f>
        <v>Dylatacja boczna spocznika</v>
      </c>
      <c r="J136" s="500"/>
    </row>
    <row r="137" spans="1:10" x14ac:dyDescent="0.2">
      <c r="A137" s="873"/>
      <c r="C137" s="809" t="str">
        <f>Texte_Sprachen!C87</f>
        <v>Tronsole Typ:</v>
      </c>
      <c r="E137" s="584" t="str">
        <f>IF(G50&gt;20,"L-420","L-250")</f>
        <v>L-420</v>
      </c>
      <c r="J137" s="500"/>
    </row>
    <row r="138" spans="1:10" x14ac:dyDescent="0.2">
      <c r="A138" s="873"/>
      <c r="E138" s="584" t="str">
        <f>"("&amp;ROUND((2*G47+G46)/100,2)&amp;" m)"</f>
        <v>(4,5 m)</v>
      </c>
      <c r="J138" s="500"/>
    </row>
    <row r="139" spans="1:10" x14ac:dyDescent="0.2">
      <c r="A139" s="873"/>
      <c r="J139" s="500"/>
    </row>
    <row r="140" spans="1:10" x14ac:dyDescent="0.2">
      <c r="A140" s="873"/>
      <c r="J140" s="500"/>
    </row>
    <row r="141" spans="1:10" x14ac:dyDescent="0.2">
      <c r="A141" s="873"/>
      <c r="J141" s="500"/>
    </row>
    <row r="142" spans="1:10" x14ac:dyDescent="0.2">
      <c r="A142" s="873"/>
      <c r="J142" s="500"/>
    </row>
    <row r="143" spans="1:10" x14ac:dyDescent="0.2">
      <c r="A143" s="873"/>
      <c r="J143" s="500"/>
    </row>
    <row r="144" spans="1:10" x14ac:dyDescent="0.2">
      <c r="A144" s="590"/>
      <c r="B144" s="464"/>
      <c r="C144" s="464"/>
      <c r="D144" s="464"/>
      <c r="E144" s="464"/>
      <c r="F144" s="464"/>
      <c r="G144" s="465"/>
      <c r="H144" s="591"/>
      <c r="I144" s="464"/>
      <c r="J144" s="553"/>
    </row>
  </sheetData>
  <sheetProtection algorithmName="SHA-512" hashValue="ZXeLFFKpyzfgWKgfAJMyFaGa7Ga3Wn7gOeg7VRsMv3DuUOxkuPtEIbnQvl3aXIxJMuT8W4wf3BCeUlLSel5CqA==" saltValue="ocIOt6YvDEkPJ/vHTwPmjg==" spinCount="100000" sheet="1" selectLockedCells="1"/>
  <mergeCells count="19">
    <mergeCell ref="I6:J6"/>
    <mergeCell ref="C17:J18"/>
    <mergeCell ref="A38:J38"/>
    <mergeCell ref="A102:J102"/>
    <mergeCell ref="C62:D63"/>
    <mergeCell ref="B34:J36"/>
    <mergeCell ref="A7:J7"/>
    <mergeCell ref="C10:J11"/>
    <mergeCell ref="B14:H14"/>
    <mergeCell ref="C15:J16"/>
    <mergeCell ref="B9:H9"/>
    <mergeCell ref="B26:H26"/>
    <mergeCell ref="C12:J13"/>
    <mergeCell ref="A69:J69"/>
    <mergeCell ref="B105:B108"/>
    <mergeCell ref="B109:B111"/>
    <mergeCell ref="B112:B114"/>
    <mergeCell ref="B6:C6"/>
    <mergeCell ref="E6:F6"/>
  </mergeCells>
  <pageMargins left="0.7" right="0.7" top="0.75" bottom="0.75" header="0.3" footer="0.3"/>
  <pageSetup paperSize="9" orientation="portrait" r:id="rId1"/>
  <headerFooter>
    <oddFooter>&amp;CSeite &amp;P von &amp;N</oddFooter>
  </headerFooter>
  <rowBreaks count="3" manualBreakCount="3">
    <brk id="37" max="9" man="1"/>
    <brk id="68" max="9" man="1"/>
    <brk id="101" max="9" man="1"/>
  </rowBreaks>
  <customProperties>
    <customPr name="_pios_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 id="{C1E87629-F631-4A73-B3F1-C66526A3AFD5}">
            <xm:f>'SPOCZNIK - DANE'!$O$33&lt;&gt;""</xm:f>
            <x14:dxf>
              <font>
                <color theme="0"/>
              </font>
            </x14:dxf>
          </x14:cfRule>
          <xm:sqref>H105:J114 E119:F119 E121:F123 E127:F127 E129:F131 E137:E138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84D09-AF32-4C62-AEC7-01FE5C3BB13A}">
  <dimension ref="N2:N3"/>
  <sheetViews>
    <sheetView zoomScale="55" zoomScaleNormal="55" workbookViewId="0">
      <selection activeCell="E3" sqref="E3"/>
    </sheetView>
  </sheetViews>
  <sheetFormatPr baseColWidth="10" defaultColWidth="11.42578125" defaultRowHeight="15" x14ac:dyDescent="0.25"/>
  <cols>
    <col min="1" max="12" width="65.7109375" customWidth="1"/>
    <col min="13" max="13" width="14.85546875" customWidth="1"/>
    <col min="14" max="14" width="37.28515625" customWidth="1"/>
  </cols>
  <sheetData>
    <row r="2" spans="14:14" ht="320.10000000000002" customHeight="1" x14ac:dyDescent="0.25">
      <c r="N2" s="903" t="str">
        <f>IF(AND(OR('BIEG - DANE'!$L$22="Typ Z",'BIEG - DANE'!$L$22="Typ P"),'BIEG - DANE'!$L$26="Typ F"),"A2",
IF(AND('BIEG - DANE'!$L$22="Typ B",'BIEG - DANE'!$L$26="Typ F"),"B2",
IF(AND('BIEG - DANE'!$L$22="Typ B",OR('BIEG - DANE'!$L$26="Typ Z",'BIEG - DANE'!$L$26="Typ P")),"C2",
IF(AND(OR('BIEG - DANE'!$L$22="Typ Z",'BIEG - DANE'!$L$22="Typ P"),OR('BIEG - DANE'!$L$26="Typ Z",'BIEG - DANE'!$L$26="Typ P")),"D2",
IF(AND('BIEG - DANE'!$L$22="Typ F",OR('BIEG - DANE'!$L$26="Typ Z",'BIEG - DANE'!$L$26="Typ P")),"E2",
IF(AND('BIEG - DANE'!$L$22="Typ F",'BIEG - DANE'!$L$26="Typ F"),"F2",
IF(AND('BIEG - DANE'!$L$22="Typ F",'BIEG - DANE'!$L$26="Typ T"),"G2",
IF(AND('BIEG - DANE'!$L$22="Typ T",OR('BIEG - DANE'!$L$26="Typ Z",'BIEG - DANE'!$L$26="Typ P")),"H2",
IF(AND(OR('BIEG - DANE'!$L$22="Typ Z",'BIEG - DANE'!$L$22="Typ P"),'BIEG - DANE'!$L$26="Typ T"),"I2",
IF(AND('BIEG - DANE'!$L$22="Typ B",'BIEG - DANE'!$L$26="Typ T"),"J2",
IF(AND('BIEG - DANE'!$L$22="Typ T",'BIEG - DANE'!$L$26="Typ T"),"K2",
IF(AND('BIEG - DANE'!$L$22="Typ T",'BIEG - DANE'!$L$26="Typ F"),"L2",
""))))))))))))</f>
        <v>F2</v>
      </c>
    </row>
    <row r="3" spans="14:14" ht="399.95" customHeight="1" x14ac:dyDescent="0.25">
      <c r="N3" s="903" t="str">
        <f>IF(AND('SPOCZNIK - DANE'!E20=Texte_Sprachen!B62,'SPOCZNIK - DANE'!K25="Typ T"),"A3",
IF(AND('SPOCZNIK - DANE'!E20=Texte_Sprachen!B61,'SPOCZNIK - DANE'!K25="Typ T"),"B3",
IF(AND('SPOCZNIK - DANE'!E20=Texte_Sprachen!B61,'SPOCZNIK - DANE'!K25="Typ F"),"C3",
IF(AND('SPOCZNIK - DANE'!E20=Texte_Sprachen!B62,'SPOCZNIK - DANE'!K25="Typ F"),"D3",
""))))</f>
        <v>C3</v>
      </c>
    </row>
  </sheetData>
  <pageMargins left="0.7" right="0.7" top="0.78740157499999996" bottom="0.78740157499999996" header="0.3" footer="0.3"/>
  <customProperties>
    <customPr name="_pios_id" r:id="rId1"/>
  </customPropertie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1" tint="0.499984740745262"/>
  </sheetPr>
  <dimension ref="A1:AC114"/>
  <sheetViews>
    <sheetView tabSelected="1" view="pageBreakPreview" zoomScale="85" zoomScaleNormal="100" zoomScaleSheetLayoutView="85" workbookViewId="0">
      <selection activeCell="D3" sqref="D3:H3"/>
    </sheetView>
  </sheetViews>
  <sheetFormatPr baseColWidth="10" defaultColWidth="11.42578125" defaultRowHeight="15" x14ac:dyDescent="0.25"/>
  <cols>
    <col min="1" max="1" width="4.28515625" customWidth="1"/>
    <col min="2" max="2" width="8.28515625" customWidth="1"/>
    <col min="3" max="3" width="7.85546875" customWidth="1"/>
    <col min="4" max="4" width="10.140625" customWidth="1"/>
    <col min="5" max="5" width="7" customWidth="1"/>
    <col min="6" max="6" width="4.28515625" customWidth="1"/>
    <col min="7" max="7" width="4" customWidth="1"/>
    <col min="8" max="8" width="9.140625" customWidth="1"/>
    <col min="9" max="9" width="5.140625" customWidth="1"/>
    <col min="10" max="10" width="4.42578125" customWidth="1"/>
    <col min="12" max="12" width="9.5703125" customWidth="1"/>
    <col min="13" max="13" width="1.85546875" customWidth="1"/>
  </cols>
  <sheetData>
    <row r="1" spans="1:29" ht="8.25" customHeight="1" x14ac:dyDescent="0.25">
      <c r="A1" s="12"/>
      <c r="B1" s="13"/>
      <c r="C1" s="13"/>
      <c r="D1" s="13"/>
      <c r="E1" s="13"/>
      <c r="F1" s="13"/>
      <c r="G1" s="13"/>
      <c r="H1" s="13"/>
      <c r="I1" s="13"/>
      <c r="J1" s="13"/>
      <c r="K1" s="13"/>
      <c r="L1" s="13"/>
      <c r="M1" s="14"/>
      <c r="N1" s="8"/>
      <c r="O1" s="8"/>
      <c r="P1" s="8"/>
      <c r="Q1" s="8"/>
      <c r="R1" s="8"/>
      <c r="S1" s="8"/>
      <c r="T1" s="8"/>
      <c r="U1" s="8"/>
      <c r="V1" s="8"/>
      <c r="W1" s="8"/>
      <c r="X1" s="8"/>
      <c r="Y1" s="8"/>
      <c r="Z1" s="8"/>
      <c r="AA1" s="8"/>
      <c r="AB1" s="8"/>
      <c r="AC1" s="8"/>
    </row>
    <row r="2" spans="1:29" x14ac:dyDescent="0.25">
      <c r="A2" s="15"/>
      <c r="B2" s="980" t="str">
        <f>Texte_Sprachen!B2</f>
        <v>Dane projektu</v>
      </c>
      <c r="C2" s="980"/>
      <c r="D2" s="489"/>
      <c r="E2" s="981"/>
      <c r="F2" s="981"/>
      <c r="G2" s="1"/>
      <c r="H2" s="1"/>
      <c r="I2" s="1"/>
      <c r="J2" s="1"/>
      <c r="K2" s="1"/>
      <c r="L2" s="1"/>
      <c r="M2" s="16"/>
      <c r="N2" s="8"/>
      <c r="O2" s="8"/>
      <c r="P2" s="8"/>
      <c r="Q2" s="8"/>
      <c r="R2" s="8"/>
      <c r="S2" s="8"/>
      <c r="T2" s="8"/>
      <c r="U2" s="8"/>
      <c r="V2" s="8"/>
      <c r="W2" s="8"/>
      <c r="X2" s="8"/>
      <c r="Y2" s="8"/>
      <c r="Z2" s="8"/>
      <c r="AA2" s="8"/>
      <c r="AB2" s="8"/>
      <c r="AC2" s="8"/>
    </row>
    <row r="3" spans="1:29" x14ac:dyDescent="0.25">
      <c r="A3" s="15"/>
      <c r="B3" s="978" t="str">
        <f>Texte_Sprachen!B3</f>
        <v>Nazwa obiektu</v>
      </c>
      <c r="C3" s="978"/>
      <c r="D3" s="979"/>
      <c r="E3" s="979"/>
      <c r="F3" s="979"/>
      <c r="G3" s="979"/>
      <c r="H3" s="979"/>
      <c r="I3" s="1"/>
      <c r="J3" s="1"/>
      <c r="K3" s="1"/>
      <c r="L3" s="1"/>
      <c r="M3" s="16"/>
      <c r="N3" s="8"/>
      <c r="O3" s="8"/>
      <c r="P3" s="8"/>
      <c r="Q3" s="8"/>
      <c r="R3" s="8"/>
      <c r="S3" s="8"/>
      <c r="T3" s="8"/>
      <c r="U3" s="8"/>
      <c r="V3" s="8"/>
      <c r="W3" s="8"/>
      <c r="X3" s="8"/>
      <c r="Y3" s="8"/>
      <c r="Z3" s="8"/>
      <c r="AA3" s="8"/>
      <c r="AB3" s="8"/>
      <c r="AC3" s="8"/>
    </row>
    <row r="4" spans="1:29" x14ac:dyDescent="0.25">
      <c r="A4" s="15"/>
      <c r="B4" s="978" t="str">
        <f>Texte_Sprachen!B4</f>
        <v>Numer obiektu</v>
      </c>
      <c r="C4" s="978"/>
      <c r="D4" s="977"/>
      <c r="E4" s="977"/>
      <c r="F4" s="977"/>
      <c r="G4" s="977"/>
      <c r="H4" s="977"/>
      <c r="I4" s="1"/>
      <c r="J4" s="1"/>
      <c r="K4" s="1"/>
      <c r="L4" s="1"/>
      <c r="M4" s="16"/>
      <c r="N4" s="8"/>
      <c r="O4" s="8"/>
      <c r="P4" s="8"/>
      <c r="Q4" s="8"/>
      <c r="R4" s="8"/>
      <c r="S4" s="8"/>
      <c r="T4" s="8"/>
      <c r="U4" s="8"/>
      <c r="V4" s="8"/>
      <c r="W4" s="8"/>
      <c r="X4" s="8"/>
      <c r="Y4" s="8"/>
      <c r="Z4" s="8"/>
      <c r="AA4" s="8"/>
      <c r="AB4" s="8"/>
      <c r="AC4" s="8"/>
    </row>
    <row r="5" spans="1:29" x14ac:dyDescent="0.25">
      <c r="A5" s="15"/>
      <c r="B5" s="978" t="str">
        <f>Texte_Sprachen!B5</f>
        <v>Opracował</v>
      </c>
      <c r="C5" s="978"/>
      <c r="D5" s="977"/>
      <c r="E5" s="977"/>
      <c r="F5" s="977"/>
      <c r="G5" s="977"/>
      <c r="H5" s="977"/>
      <c r="I5" s="490"/>
      <c r="J5" s="1"/>
      <c r="K5" s="1"/>
      <c r="L5" s="1"/>
      <c r="M5" s="16"/>
      <c r="N5" s="8"/>
      <c r="O5" s="8"/>
      <c r="P5" s="8"/>
      <c r="Q5" s="8"/>
      <c r="R5" s="8"/>
      <c r="S5" s="8"/>
      <c r="T5" s="8"/>
      <c r="U5" s="8"/>
      <c r="V5" s="8"/>
      <c r="W5" s="8"/>
      <c r="X5" s="8"/>
      <c r="Y5" s="8"/>
      <c r="Z5" s="8"/>
      <c r="AA5" s="8"/>
      <c r="AB5" s="8"/>
      <c r="AC5" s="8"/>
    </row>
    <row r="6" spans="1:29" x14ac:dyDescent="0.25">
      <c r="A6" s="15"/>
      <c r="B6" s="489"/>
      <c r="C6" s="491" t="str">
        <f>Texte_Sprachen!B9</f>
        <v>Kraj</v>
      </c>
      <c r="D6" s="940" t="s">
        <v>571</v>
      </c>
      <c r="E6" s="919"/>
      <c r="F6" s="919"/>
      <c r="G6" s="492"/>
      <c r="H6" s="492"/>
      <c r="I6" s="490"/>
      <c r="J6" s="1"/>
      <c r="K6" s="905" t="str">
        <f>Texte_Sprachen!B11</f>
        <v>Data</v>
      </c>
      <c r="L6" s="598">
        <f ca="1">NOW()</f>
        <v>45462.610219907408</v>
      </c>
      <c r="M6" s="16"/>
      <c r="N6" s="8"/>
      <c r="O6" s="8"/>
      <c r="P6" s="8"/>
      <c r="Q6" s="8"/>
      <c r="R6" s="8"/>
      <c r="S6" s="8"/>
      <c r="T6" s="8"/>
      <c r="U6" s="8"/>
      <c r="V6" s="8"/>
      <c r="W6" s="8"/>
      <c r="X6" s="8"/>
      <c r="Y6" s="8"/>
      <c r="Z6" s="8"/>
      <c r="AA6" s="8"/>
      <c r="AB6" s="8"/>
      <c r="AC6" s="8"/>
    </row>
    <row r="7" spans="1:29" x14ac:dyDescent="0.25">
      <c r="A7" s="17"/>
      <c r="B7" s="2"/>
      <c r="C7" s="11" t="str">
        <f>Texte_Sprachen!B10</f>
        <v>Język</v>
      </c>
      <c r="D7" s="19" t="s">
        <v>571</v>
      </c>
      <c r="E7" s="9"/>
      <c r="F7" s="920"/>
      <c r="G7" s="10"/>
      <c r="H7" s="10"/>
      <c r="I7" s="10"/>
      <c r="J7" s="10"/>
      <c r="K7" s="976" t="str">
        <f>Texte_Sprachen!B159&amp;" 3.1        30.11.2023"</f>
        <v>Wersja 3.1        30.11.2023</v>
      </c>
      <c r="L7" s="976"/>
      <c r="M7" s="602"/>
      <c r="N7" s="8"/>
      <c r="O7" s="8"/>
      <c r="P7" s="8"/>
      <c r="Q7" s="8"/>
      <c r="R7" s="8"/>
      <c r="S7" s="8"/>
      <c r="T7" s="8"/>
      <c r="U7" s="8"/>
      <c r="V7" s="8"/>
      <c r="W7" s="8"/>
      <c r="X7" s="8"/>
      <c r="Y7" s="8"/>
      <c r="Z7" s="8"/>
      <c r="AA7" s="8"/>
      <c r="AB7" s="8"/>
      <c r="AC7" s="8"/>
    </row>
    <row r="8" spans="1:29" ht="20.100000000000001" customHeight="1" x14ac:dyDescent="0.25">
      <c r="A8" s="12"/>
      <c r="B8" s="982" t="str">
        <f>Texte_Sprachen!B12</f>
        <v>Bieg (ze spocznikiem)</v>
      </c>
      <c r="C8" s="982"/>
      <c r="D8" s="982"/>
      <c r="E8" s="982"/>
      <c r="F8" s="599"/>
      <c r="G8" s="600"/>
      <c r="H8" s="982" t="str">
        <f>Texte_Sprachen!B13</f>
        <v>Spocznik</v>
      </c>
      <c r="I8" s="982"/>
      <c r="J8" s="982"/>
      <c r="K8" s="982"/>
      <c r="L8" s="13"/>
      <c r="M8" s="14"/>
      <c r="N8" s="8"/>
      <c r="O8" s="8"/>
      <c r="P8" s="8"/>
      <c r="Q8" s="8"/>
      <c r="R8" s="8"/>
      <c r="S8" s="8"/>
      <c r="T8" s="8"/>
      <c r="U8" s="8"/>
      <c r="V8" s="8"/>
      <c r="W8" s="8"/>
      <c r="X8" s="8"/>
      <c r="Y8" s="8"/>
      <c r="Z8" s="8"/>
      <c r="AA8" s="8"/>
      <c r="AB8" s="8"/>
      <c r="AC8" s="8"/>
    </row>
    <row r="9" spans="1:29" ht="18.75" customHeight="1" x14ac:dyDescent="0.25">
      <c r="A9" s="15"/>
      <c r="B9" s="983"/>
      <c r="C9" s="983"/>
      <c r="D9" s="983"/>
      <c r="E9" s="983"/>
      <c r="F9" s="493"/>
      <c r="G9" s="494"/>
      <c r="H9" s="983"/>
      <c r="I9" s="983"/>
      <c r="J9" s="983"/>
      <c r="K9" s="983"/>
      <c r="L9" s="1"/>
      <c r="M9" s="16"/>
      <c r="N9" s="8"/>
      <c r="O9" s="8"/>
      <c r="P9" s="8"/>
      <c r="Q9" s="8"/>
      <c r="R9" s="8"/>
      <c r="S9" s="8"/>
      <c r="T9" s="8"/>
      <c r="U9" s="8"/>
      <c r="V9" s="8"/>
      <c r="W9" s="8"/>
      <c r="X9" s="8"/>
      <c r="Y9" s="8"/>
      <c r="Z9" s="8"/>
      <c r="AA9" s="8"/>
      <c r="AB9" s="8"/>
      <c r="AC9" s="8"/>
    </row>
    <row r="10" spans="1:29" ht="18.75" customHeight="1" x14ac:dyDescent="0.25">
      <c r="A10" s="15"/>
      <c r="B10" s="985" t="str">
        <f>IF(PRZEGLAD!A23=TRUE,HYPERLINK("[#]Treppenlauf!A1",""),"")</f>
        <v/>
      </c>
      <c r="C10" s="985"/>
      <c r="D10" s="985"/>
      <c r="E10" s="985"/>
      <c r="F10" s="593"/>
      <c r="G10" s="494"/>
      <c r="H10" s="984"/>
      <c r="I10" s="984"/>
      <c r="J10" s="984"/>
      <c r="K10" s="984"/>
      <c r="L10" s="1"/>
      <c r="M10" s="16"/>
      <c r="N10" s="8"/>
      <c r="O10" s="8"/>
      <c r="P10" s="8"/>
      <c r="Q10" s="8"/>
      <c r="R10" s="8"/>
      <c r="S10" s="8"/>
      <c r="T10" s="8"/>
      <c r="U10" s="8"/>
      <c r="V10" s="8"/>
      <c r="W10" s="8"/>
      <c r="X10" s="8"/>
      <c r="Y10" s="8"/>
      <c r="Z10" s="8"/>
      <c r="AA10" s="8"/>
      <c r="AB10" s="8"/>
      <c r="AC10" s="8"/>
    </row>
    <row r="11" spans="1:29" x14ac:dyDescent="0.25">
      <c r="A11" s="15"/>
      <c r="B11" s="985"/>
      <c r="C11" s="985"/>
      <c r="D11" s="985"/>
      <c r="E11" s="985"/>
      <c r="F11" s="593"/>
      <c r="G11" s="1"/>
      <c r="H11" s="984"/>
      <c r="I11" s="984"/>
      <c r="J11" s="984"/>
      <c r="K11" s="984"/>
      <c r="L11" s="1"/>
      <c r="M11" s="16"/>
      <c r="N11" s="8"/>
      <c r="O11" s="8"/>
      <c r="P11" s="8"/>
      <c r="Q11" s="8"/>
      <c r="R11" s="8"/>
      <c r="S11" s="8"/>
      <c r="T11" s="8"/>
      <c r="U11" s="8"/>
      <c r="V11" s="8"/>
      <c r="W11" s="8"/>
      <c r="X11" s="8"/>
      <c r="Y11" s="8"/>
      <c r="Z11" s="8"/>
      <c r="AA11" s="8"/>
      <c r="AB11" s="8"/>
      <c r="AC11" s="8"/>
    </row>
    <row r="12" spans="1:29" x14ac:dyDescent="0.25">
      <c r="A12" s="15"/>
      <c r="B12" s="985"/>
      <c r="C12" s="985"/>
      <c r="D12" s="985"/>
      <c r="E12" s="985"/>
      <c r="F12" s="593"/>
      <c r="G12" s="1"/>
      <c r="H12" s="984"/>
      <c r="I12" s="984"/>
      <c r="J12" s="984"/>
      <c r="K12" s="984"/>
      <c r="L12" s="1"/>
      <c r="M12" s="16"/>
      <c r="N12" s="8"/>
      <c r="O12" s="8"/>
      <c r="P12" s="8"/>
      <c r="Q12" s="8"/>
      <c r="R12" s="8"/>
      <c r="S12" s="8"/>
      <c r="T12" s="8"/>
      <c r="U12" s="8"/>
      <c r="V12" s="8"/>
      <c r="W12" s="8"/>
      <c r="X12" s="8"/>
      <c r="Y12" s="8"/>
      <c r="Z12" s="8"/>
      <c r="AA12" s="8"/>
      <c r="AB12" s="8"/>
      <c r="AC12" s="8"/>
    </row>
    <row r="13" spans="1:29" x14ac:dyDescent="0.25">
      <c r="A13" s="15"/>
      <c r="B13" s="985"/>
      <c r="C13" s="985"/>
      <c r="D13" s="985"/>
      <c r="E13" s="985"/>
      <c r="F13" s="593"/>
      <c r="G13" s="1"/>
      <c r="H13" s="984"/>
      <c r="I13" s="984"/>
      <c r="J13" s="984"/>
      <c r="K13" s="984"/>
      <c r="L13" s="1"/>
      <c r="M13" s="16"/>
      <c r="N13" s="8"/>
      <c r="O13" s="8"/>
      <c r="P13" s="8"/>
      <c r="Q13" s="8"/>
      <c r="R13" s="8"/>
      <c r="S13" s="8"/>
      <c r="T13" s="8"/>
      <c r="U13" s="8"/>
      <c r="V13" s="8"/>
      <c r="W13" s="8"/>
      <c r="X13" s="8"/>
      <c r="Y13" s="8"/>
      <c r="Z13" s="8"/>
      <c r="AA13" s="8"/>
      <c r="AB13" s="8"/>
      <c r="AC13" s="8"/>
    </row>
    <row r="14" spans="1:29" x14ac:dyDescent="0.25">
      <c r="A14" s="15"/>
      <c r="B14" s="985"/>
      <c r="C14" s="985"/>
      <c r="D14" s="985"/>
      <c r="E14" s="985"/>
      <c r="F14" s="593"/>
      <c r="G14" s="1"/>
      <c r="H14" s="984"/>
      <c r="I14" s="984"/>
      <c r="J14" s="984"/>
      <c r="K14" s="984"/>
      <c r="L14" s="1"/>
      <c r="M14" s="16"/>
      <c r="N14" s="8"/>
      <c r="O14" s="8"/>
      <c r="P14" s="8"/>
      <c r="Q14" s="8"/>
      <c r="R14" s="8"/>
      <c r="S14" s="8"/>
      <c r="T14" s="8"/>
      <c r="U14" s="8"/>
      <c r="V14" s="8"/>
      <c r="W14" s="8"/>
      <c r="X14" s="8"/>
      <c r="Y14" s="8"/>
      <c r="Z14" s="8"/>
      <c r="AA14" s="8"/>
      <c r="AB14" s="8"/>
      <c r="AC14" s="8"/>
    </row>
    <row r="15" spans="1:29" x14ac:dyDescent="0.25">
      <c r="A15" s="15"/>
      <c r="B15" s="985"/>
      <c r="C15" s="985"/>
      <c r="D15" s="985"/>
      <c r="E15" s="985"/>
      <c r="F15" s="593"/>
      <c r="G15" s="1"/>
      <c r="H15" s="984"/>
      <c r="I15" s="984"/>
      <c r="J15" s="984"/>
      <c r="K15" s="984"/>
      <c r="L15" s="1"/>
      <c r="M15" s="16"/>
      <c r="N15" s="8"/>
      <c r="O15" s="8"/>
      <c r="P15" s="8"/>
      <c r="Q15" s="8"/>
      <c r="R15" s="8"/>
      <c r="S15" s="8"/>
      <c r="T15" s="8"/>
      <c r="U15" s="8"/>
      <c r="V15" s="8"/>
      <c r="W15" s="8"/>
      <c r="X15" s="8"/>
      <c r="Y15" s="8"/>
      <c r="Z15" s="8"/>
      <c r="AA15" s="8"/>
      <c r="AB15" s="8"/>
      <c r="AC15" s="8"/>
    </row>
    <row r="16" spans="1:29" x14ac:dyDescent="0.25">
      <c r="A16" s="15"/>
      <c r="B16" s="985"/>
      <c r="C16" s="985"/>
      <c r="D16" s="985"/>
      <c r="E16" s="985"/>
      <c r="F16" s="593"/>
      <c r="G16" s="1"/>
      <c r="H16" s="984"/>
      <c r="I16" s="984"/>
      <c r="J16" s="984"/>
      <c r="K16" s="984"/>
      <c r="L16" s="1"/>
      <c r="M16" s="16"/>
      <c r="N16" s="8"/>
      <c r="O16" s="8"/>
      <c r="P16" s="8"/>
      <c r="Q16" s="8"/>
      <c r="R16" s="8"/>
      <c r="S16" s="8"/>
      <c r="T16" s="8"/>
      <c r="U16" s="8"/>
      <c r="V16" s="8"/>
      <c r="W16" s="8"/>
      <c r="X16" s="8"/>
      <c r="Y16" s="8"/>
      <c r="Z16" s="8"/>
      <c r="AA16" s="8"/>
      <c r="AB16" s="8"/>
      <c r="AC16" s="8"/>
    </row>
    <row r="17" spans="1:29" x14ac:dyDescent="0.25">
      <c r="A17" s="15"/>
      <c r="B17" s="985"/>
      <c r="C17" s="985"/>
      <c r="D17" s="985"/>
      <c r="E17" s="985"/>
      <c r="F17" s="593"/>
      <c r="G17" s="1"/>
      <c r="H17" s="984"/>
      <c r="I17" s="984"/>
      <c r="J17" s="984"/>
      <c r="K17" s="984"/>
      <c r="L17" s="1"/>
      <c r="M17" s="16"/>
      <c r="N17" s="8"/>
      <c r="O17" s="8"/>
      <c r="P17" s="8"/>
      <c r="Q17" s="8"/>
      <c r="R17" s="8"/>
      <c r="S17" s="8"/>
      <c r="T17" s="8"/>
      <c r="U17" s="8"/>
      <c r="V17" s="8"/>
      <c r="W17" s="8"/>
      <c r="X17" s="8"/>
      <c r="Y17" s="8"/>
      <c r="Z17" s="8"/>
      <c r="AA17" s="8"/>
      <c r="AB17" s="8"/>
      <c r="AC17" s="8"/>
    </row>
    <row r="18" spans="1:29" x14ac:dyDescent="0.25">
      <c r="A18" s="15"/>
      <c r="B18" s="985"/>
      <c r="C18" s="985"/>
      <c r="D18" s="985"/>
      <c r="E18" s="985"/>
      <c r="F18" s="593"/>
      <c r="G18" s="1"/>
      <c r="H18" s="984"/>
      <c r="I18" s="984"/>
      <c r="J18" s="984"/>
      <c r="K18" s="984"/>
      <c r="L18" s="1"/>
      <c r="M18" s="16"/>
      <c r="N18" s="8"/>
      <c r="O18" s="8"/>
      <c r="P18" s="8"/>
      <c r="Q18" s="8"/>
      <c r="R18" s="8"/>
      <c r="S18" s="8"/>
      <c r="T18" s="8"/>
      <c r="U18" s="8"/>
      <c r="V18" s="8"/>
      <c r="W18" s="8"/>
      <c r="X18" s="8"/>
      <c r="Y18" s="8"/>
      <c r="Z18" s="8"/>
      <c r="AA18" s="8"/>
      <c r="AB18" s="8"/>
      <c r="AC18" s="8"/>
    </row>
    <row r="19" spans="1:29" ht="15" customHeight="1" x14ac:dyDescent="0.25">
      <c r="A19" s="15"/>
      <c r="B19" s="1"/>
      <c r="C19" s="1"/>
      <c r="D19" s="1"/>
      <c r="E19" s="1"/>
      <c r="F19" s="1"/>
      <c r="G19" s="1"/>
      <c r="H19" s="1"/>
      <c r="I19" s="1"/>
      <c r="J19" s="1"/>
      <c r="K19" s="1"/>
      <c r="L19" s="1"/>
      <c r="M19" s="16"/>
      <c r="N19" s="8"/>
      <c r="O19" s="8"/>
      <c r="P19" s="8"/>
      <c r="Q19" s="8"/>
      <c r="R19" s="8"/>
      <c r="S19" s="8"/>
      <c r="T19" s="8"/>
      <c r="U19" s="8"/>
      <c r="V19" s="8"/>
      <c r="W19" s="8"/>
      <c r="X19" s="8"/>
      <c r="Y19" s="8"/>
      <c r="Z19" s="8"/>
      <c r="AA19" s="8"/>
      <c r="AB19" s="8"/>
      <c r="AC19" s="8"/>
    </row>
    <row r="20" spans="1:29" ht="15" customHeight="1" x14ac:dyDescent="0.25">
      <c r="A20" s="15"/>
      <c r="B20" s="1"/>
      <c r="C20" s="1"/>
      <c r="D20" s="1"/>
      <c r="E20" s="1"/>
      <c r="F20" s="1"/>
      <c r="G20" s="1"/>
      <c r="H20" s="1"/>
      <c r="I20" s="1"/>
      <c r="J20" s="1"/>
      <c r="K20" s="1"/>
      <c r="L20" s="1"/>
      <c r="M20" s="16"/>
      <c r="N20" s="8"/>
      <c r="O20" s="8"/>
      <c r="P20" s="8"/>
      <c r="Q20" s="8"/>
      <c r="R20" s="8"/>
      <c r="S20" s="8"/>
      <c r="T20" s="8"/>
      <c r="U20" s="8"/>
      <c r="V20" s="8"/>
      <c r="W20" s="8"/>
      <c r="X20" s="8"/>
      <c r="Y20" s="8"/>
      <c r="Z20" s="8"/>
      <c r="AA20" s="8"/>
      <c r="AB20" s="8"/>
      <c r="AC20" s="8"/>
    </row>
    <row r="21" spans="1:29" x14ac:dyDescent="0.25">
      <c r="A21" s="17"/>
      <c r="B21" s="2"/>
      <c r="C21" s="2"/>
      <c r="D21" s="2"/>
      <c r="E21" s="2"/>
      <c r="F21" s="2"/>
      <c r="G21" s="2"/>
      <c r="H21" s="2"/>
      <c r="I21" s="2"/>
      <c r="J21" s="2"/>
      <c r="K21" s="2"/>
      <c r="L21" s="2"/>
      <c r="M21" s="18"/>
      <c r="N21" s="8"/>
      <c r="O21" s="8"/>
      <c r="P21" s="8"/>
      <c r="Q21" s="8"/>
      <c r="R21" s="8"/>
      <c r="S21" s="8"/>
      <c r="T21" s="8"/>
      <c r="U21" s="8"/>
      <c r="V21" s="8"/>
      <c r="W21" s="8"/>
      <c r="X21" s="8"/>
      <c r="Y21" s="8"/>
      <c r="Z21" s="8"/>
      <c r="AA21" s="8"/>
      <c r="AB21" s="8"/>
      <c r="AC21" s="8"/>
    </row>
    <row r="22" spans="1:29" x14ac:dyDescent="0.25">
      <c r="A22" s="480"/>
      <c r="B22" s="8"/>
      <c r="C22" s="8"/>
      <c r="D22" s="8"/>
      <c r="E22" s="8"/>
      <c r="F22" s="8"/>
      <c r="G22" s="8"/>
      <c r="H22" s="8"/>
      <c r="I22" s="8"/>
      <c r="J22" s="8"/>
      <c r="K22" s="8"/>
      <c r="L22" s="8"/>
      <c r="M22" s="486"/>
      <c r="N22" s="8"/>
      <c r="O22" s="8"/>
      <c r="P22" s="8"/>
      <c r="Q22" s="8"/>
      <c r="R22" s="8"/>
      <c r="S22" s="8"/>
      <c r="T22" s="8"/>
      <c r="U22" s="8"/>
      <c r="V22" s="8"/>
      <c r="W22" s="8"/>
      <c r="X22" s="8"/>
      <c r="Y22" s="8"/>
      <c r="Z22" s="8"/>
      <c r="AA22" s="8"/>
      <c r="AB22" s="8"/>
      <c r="AC22" s="8"/>
    </row>
    <row r="23" spans="1:29" ht="15" customHeight="1" x14ac:dyDescent="0.25">
      <c r="A23" s="487"/>
      <c r="B23" s="988" t="str">
        <f>IF(Texte_Sprachen!B135&lt;&gt;0,Texte_Sprachen!B135,"")</f>
        <v>Zapisy o odpowiedzialności za wykonane obliczenia</v>
      </c>
      <c r="C23" s="988"/>
      <c r="D23" s="988"/>
      <c r="E23" s="988"/>
      <c r="F23" s="988"/>
      <c r="G23" s="988"/>
      <c r="H23" s="988"/>
      <c r="I23" s="479"/>
      <c r="J23" s="479"/>
      <c r="K23" s="479"/>
      <c r="L23" s="479"/>
      <c r="M23" s="486"/>
      <c r="N23" s="8"/>
      <c r="O23" s="8"/>
      <c r="P23" s="8"/>
      <c r="Q23" s="8"/>
      <c r="R23" s="8"/>
      <c r="S23" s="8"/>
      <c r="T23" s="8"/>
      <c r="U23" s="8"/>
      <c r="V23" s="8"/>
      <c r="W23" s="8"/>
      <c r="X23" s="8"/>
      <c r="Y23" s="8"/>
      <c r="Z23" s="8"/>
      <c r="AA23" s="8"/>
      <c r="AB23" s="8"/>
      <c r="AC23" s="8"/>
    </row>
    <row r="24" spans="1:29" x14ac:dyDescent="0.25">
      <c r="A24" s="480"/>
      <c r="B24" s="479"/>
      <c r="C24" s="479"/>
      <c r="D24" s="479"/>
      <c r="E24" s="479"/>
      <c r="F24" s="479"/>
      <c r="G24" s="479"/>
      <c r="H24" s="479"/>
      <c r="I24" s="479"/>
      <c r="J24" s="479"/>
      <c r="K24" s="479"/>
      <c r="L24" s="479"/>
      <c r="M24" s="486"/>
      <c r="N24" s="8"/>
      <c r="O24" s="8"/>
      <c r="P24" s="8"/>
      <c r="Q24" s="8"/>
      <c r="R24" s="8"/>
      <c r="S24" s="8"/>
      <c r="T24" s="8"/>
      <c r="U24" s="8"/>
      <c r="V24" s="8"/>
      <c r="W24" s="8"/>
      <c r="X24" s="8"/>
      <c r="Y24" s="8"/>
      <c r="Z24" s="8"/>
      <c r="AA24" s="8"/>
      <c r="AB24" s="8"/>
      <c r="AC24" s="8"/>
    </row>
    <row r="25" spans="1:29" x14ac:dyDescent="0.25">
      <c r="A25" s="480"/>
      <c r="B25" s="986" t="str">
        <f>IF(Texte_Sprachen!B136&lt;&gt;0,Texte_Sprachen!B136,"")</f>
        <v xml:space="preserve">1. Narzędzie projektowe Excel służy do wstępnego projektowania połączeń schodów i podestów/spoczników (elementów systemu izolacji akustycznej od dźwięków uderzeniowych), ale nie zastępuje wymaganych przez przepisy prawa i normy budowlane obliczeń statyki tych elementów. Schöck udostępnia bezpłatnie narzędzie projektowe w takie postaci jakiej się znajduje wyłącznie, aby zapewnić użytkownikowi narzędzie uzupełniające. Firma Schöck nie ma możliwości sprawdzenia ani monitorowania prawidłowości korzystania z narzędzia przez użytkowników. Schöck udostępnia narzędzie, zastrzegając konieczność używania go przez użytkowników mających odpowiednio wysoki poziom wiedzy specjalistycznej z zakresu budownictwa, nie biorąc równocześnie odpowiedzialności za konsekwencje błędnych obliczeń przy użyciu narzędzia, w szczególności wynikających z błędów oprogramowania narzędzia. W przypadku pytań lub niejasności użytkownik ma obowiązek skontaktować się z firmą Schöck przed wykorzystaniem wyników wstępnych obliczeń na podstawie narzędzia. Schöck nie gwarantuje jak i nie ponosi odpowiedzialności za przydatności narzędzia projektowego i jakość oprogramowania dla indywidualnych celów użytkownika lub kompatybilności z jakimkolwiek innym oprogramowaniem lub sprzętem.
2. Wszelka odpowiedzialność Schöck, zarówno umowna jak i z tytułu rękojmi lub gwarancji związanej z narzędziem projektowym, w tym wynikami jego obliczenia jest wyłączona.  </v>
      </c>
      <c r="C25" s="986"/>
      <c r="D25" s="986"/>
      <c r="E25" s="986"/>
      <c r="F25" s="986"/>
      <c r="G25" s="986"/>
      <c r="H25" s="986"/>
      <c r="I25" s="986"/>
      <c r="J25" s="986"/>
      <c r="K25" s="986"/>
      <c r="L25" s="986"/>
      <c r="M25" s="486"/>
      <c r="N25" s="8"/>
      <c r="O25" s="8"/>
      <c r="P25" s="8"/>
      <c r="Q25" s="8"/>
      <c r="R25" s="8"/>
      <c r="S25" s="8"/>
      <c r="T25" s="8"/>
      <c r="U25" s="8"/>
      <c r="V25" s="8"/>
      <c r="W25" s="8"/>
      <c r="X25" s="8"/>
      <c r="Y25" s="8"/>
      <c r="Z25" s="8"/>
      <c r="AA25" s="8"/>
      <c r="AB25" s="8"/>
      <c r="AC25" s="8"/>
    </row>
    <row r="26" spans="1:29" x14ac:dyDescent="0.25">
      <c r="A26" s="480"/>
      <c r="B26" s="986"/>
      <c r="C26" s="986"/>
      <c r="D26" s="986"/>
      <c r="E26" s="986"/>
      <c r="F26" s="986"/>
      <c r="G26" s="986"/>
      <c r="H26" s="986"/>
      <c r="I26" s="986"/>
      <c r="J26" s="986"/>
      <c r="K26" s="986"/>
      <c r="L26" s="986"/>
      <c r="M26" s="486"/>
      <c r="N26" s="8"/>
      <c r="O26" s="8"/>
      <c r="P26" s="8"/>
      <c r="Q26" s="8"/>
      <c r="R26" s="8"/>
      <c r="S26" s="8"/>
      <c r="T26" s="8"/>
      <c r="U26" s="8"/>
      <c r="V26" s="8"/>
      <c r="W26" s="8"/>
      <c r="X26" s="8"/>
      <c r="Y26" s="8"/>
      <c r="Z26" s="8"/>
      <c r="AA26" s="8"/>
      <c r="AB26" s="8"/>
      <c r="AC26" s="8"/>
    </row>
    <row r="27" spans="1:29" x14ac:dyDescent="0.25">
      <c r="A27" s="480"/>
      <c r="B27" s="986"/>
      <c r="C27" s="986"/>
      <c r="D27" s="986"/>
      <c r="E27" s="986"/>
      <c r="F27" s="986"/>
      <c r="G27" s="986"/>
      <c r="H27" s="986"/>
      <c r="I27" s="986"/>
      <c r="J27" s="986"/>
      <c r="K27" s="986"/>
      <c r="L27" s="986"/>
      <c r="M27" s="486"/>
      <c r="N27" s="8"/>
      <c r="O27" s="8"/>
      <c r="P27" s="8"/>
      <c r="Q27" s="8"/>
      <c r="R27" s="8"/>
      <c r="S27" s="8"/>
      <c r="T27" s="8"/>
      <c r="U27" s="8"/>
      <c r="V27" s="8"/>
      <c r="W27" s="8"/>
      <c r="X27" s="8"/>
      <c r="Y27" s="8"/>
      <c r="Z27" s="8"/>
      <c r="AA27" s="8"/>
      <c r="AB27" s="8"/>
      <c r="AC27" s="8"/>
    </row>
    <row r="28" spans="1:29" x14ac:dyDescent="0.25">
      <c r="A28" s="480"/>
      <c r="B28" s="986"/>
      <c r="C28" s="986"/>
      <c r="D28" s="986"/>
      <c r="E28" s="986"/>
      <c r="F28" s="986"/>
      <c r="G28" s="986"/>
      <c r="H28" s="986"/>
      <c r="I28" s="986"/>
      <c r="J28" s="986"/>
      <c r="K28" s="986"/>
      <c r="L28" s="986"/>
      <c r="M28" s="486"/>
      <c r="N28" s="478"/>
      <c r="O28" s="8"/>
      <c r="P28" s="8"/>
      <c r="Q28" s="8"/>
      <c r="R28" s="8"/>
      <c r="S28" s="8"/>
      <c r="T28" s="8"/>
      <c r="U28" s="8"/>
      <c r="V28" s="8"/>
      <c r="W28" s="8"/>
      <c r="X28" s="8"/>
      <c r="Y28" s="8"/>
      <c r="Z28" s="8"/>
      <c r="AA28" s="8"/>
      <c r="AB28" s="8"/>
      <c r="AC28" s="8"/>
    </row>
    <row r="29" spans="1:29" x14ac:dyDescent="0.25">
      <c r="A29" s="480"/>
      <c r="B29" s="986"/>
      <c r="C29" s="986"/>
      <c r="D29" s="986"/>
      <c r="E29" s="986"/>
      <c r="F29" s="986"/>
      <c r="G29" s="986"/>
      <c r="H29" s="986"/>
      <c r="I29" s="986"/>
      <c r="J29" s="986"/>
      <c r="K29" s="986"/>
      <c r="L29" s="986"/>
      <c r="M29" s="486"/>
      <c r="N29" s="8"/>
      <c r="O29" s="8"/>
      <c r="P29" s="8"/>
      <c r="Q29" s="8"/>
      <c r="R29" s="8"/>
      <c r="S29" s="8"/>
      <c r="T29" s="8"/>
      <c r="U29" s="8"/>
      <c r="V29" s="8"/>
      <c r="W29" s="8"/>
      <c r="X29" s="8"/>
      <c r="Y29" s="8"/>
      <c r="Z29" s="8"/>
      <c r="AA29" s="8"/>
      <c r="AB29" s="8"/>
      <c r="AC29" s="8"/>
    </row>
    <row r="30" spans="1:29" x14ac:dyDescent="0.25">
      <c r="A30" s="480"/>
      <c r="B30" s="986"/>
      <c r="C30" s="986"/>
      <c r="D30" s="986"/>
      <c r="E30" s="986"/>
      <c r="F30" s="986"/>
      <c r="G30" s="986"/>
      <c r="H30" s="986"/>
      <c r="I30" s="986"/>
      <c r="J30" s="986"/>
      <c r="K30" s="986"/>
      <c r="L30" s="986"/>
      <c r="M30" s="486"/>
      <c r="N30" s="8"/>
      <c r="O30" s="8"/>
      <c r="P30" s="8"/>
      <c r="Q30" s="8"/>
      <c r="R30" s="8"/>
      <c r="S30" s="8"/>
      <c r="T30" s="8"/>
      <c r="U30" s="8"/>
      <c r="V30" s="8"/>
      <c r="W30" s="8"/>
      <c r="X30" s="8"/>
      <c r="Y30" s="8"/>
      <c r="Z30" s="8"/>
      <c r="AA30" s="8"/>
      <c r="AB30" s="8"/>
      <c r="AC30" s="8"/>
    </row>
    <row r="31" spans="1:29" x14ac:dyDescent="0.25">
      <c r="A31" s="480"/>
      <c r="B31" s="986"/>
      <c r="C31" s="986"/>
      <c r="D31" s="986"/>
      <c r="E31" s="986"/>
      <c r="F31" s="986"/>
      <c r="G31" s="986"/>
      <c r="H31" s="986"/>
      <c r="I31" s="986"/>
      <c r="J31" s="986"/>
      <c r="K31" s="986"/>
      <c r="L31" s="986"/>
      <c r="M31" s="486"/>
      <c r="N31" s="8"/>
      <c r="O31" s="8"/>
      <c r="P31" s="8"/>
      <c r="Q31" s="8"/>
      <c r="R31" s="8"/>
      <c r="S31" s="8"/>
      <c r="T31" s="8"/>
      <c r="U31" s="8"/>
      <c r="V31" s="8"/>
      <c r="W31" s="8"/>
      <c r="X31" s="8"/>
      <c r="Y31" s="8"/>
      <c r="Z31" s="8"/>
      <c r="AA31" s="8"/>
      <c r="AB31" s="8"/>
      <c r="AC31" s="8"/>
    </row>
    <row r="32" spans="1:29" x14ac:dyDescent="0.25">
      <c r="A32" s="480"/>
      <c r="B32" s="986"/>
      <c r="C32" s="986"/>
      <c r="D32" s="986"/>
      <c r="E32" s="986"/>
      <c r="F32" s="986"/>
      <c r="G32" s="986"/>
      <c r="H32" s="986"/>
      <c r="I32" s="986"/>
      <c r="J32" s="986"/>
      <c r="K32" s="986"/>
      <c r="L32" s="986"/>
      <c r="M32" s="486"/>
      <c r="N32" s="8"/>
      <c r="O32" s="8"/>
      <c r="P32" s="8"/>
      <c r="Q32" s="8"/>
      <c r="R32" s="8"/>
      <c r="S32" s="8"/>
      <c r="T32" s="8"/>
      <c r="U32" s="8"/>
      <c r="V32" s="8"/>
      <c r="W32" s="8"/>
      <c r="X32" s="8"/>
      <c r="Y32" s="8"/>
      <c r="Z32" s="8"/>
      <c r="AA32" s="8"/>
      <c r="AB32" s="8"/>
      <c r="AC32" s="8"/>
    </row>
    <row r="33" spans="1:29" x14ac:dyDescent="0.25">
      <c r="A33" s="480"/>
      <c r="B33" s="986"/>
      <c r="C33" s="986"/>
      <c r="D33" s="986"/>
      <c r="E33" s="986"/>
      <c r="F33" s="986"/>
      <c r="G33" s="986"/>
      <c r="H33" s="986"/>
      <c r="I33" s="986"/>
      <c r="J33" s="986"/>
      <c r="K33" s="986"/>
      <c r="L33" s="986"/>
      <c r="M33" s="486"/>
      <c r="N33" s="8"/>
      <c r="O33" s="8"/>
      <c r="P33" s="8"/>
      <c r="Q33" s="8"/>
      <c r="R33" s="8"/>
      <c r="S33" s="8"/>
      <c r="T33" s="8"/>
      <c r="U33" s="8"/>
      <c r="V33" s="8"/>
      <c r="W33" s="8"/>
      <c r="X33" s="8"/>
      <c r="Y33" s="8"/>
      <c r="Z33" s="8"/>
      <c r="AA33" s="8"/>
      <c r="AB33" s="8"/>
      <c r="AC33" s="8"/>
    </row>
    <row r="34" spans="1:29" x14ac:dyDescent="0.25">
      <c r="A34" s="480"/>
      <c r="B34" s="986"/>
      <c r="C34" s="986"/>
      <c r="D34" s="986"/>
      <c r="E34" s="986"/>
      <c r="F34" s="986"/>
      <c r="G34" s="986"/>
      <c r="H34" s="986"/>
      <c r="I34" s="986"/>
      <c r="J34" s="986"/>
      <c r="K34" s="986"/>
      <c r="L34" s="986"/>
      <c r="M34" s="486"/>
      <c r="N34" s="8"/>
      <c r="O34" s="8"/>
      <c r="P34" s="8"/>
      <c r="Q34" s="8"/>
      <c r="R34" s="8"/>
      <c r="S34" s="8"/>
      <c r="T34" s="8"/>
      <c r="U34" s="8"/>
      <c r="V34" s="8"/>
      <c r="W34" s="8"/>
      <c r="X34" s="8"/>
      <c r="Y34" s="8"/>
      <c r="Z34" s="8"/>
      <c r="AA34" s="8"/>
      <c r="AB34" s="8"/>
      <c r="AC34" s="8"/>
    </row>
    <row r="35" spans="1:29" x14ac:dyDescent="0.25">
      <c r="A35" s="480"/>
      <c r="B35" s="986"/>
      <c r="C35" s="986"/>
      <c r="D35" s="986"/>
      <c r="E35" s="986"/>
      <c r="F35" s="986"/>
      <c r="G35" s="986"/>
      <c r="H35" s="986"/>
      <c r="I35" s="986"/>
      <c r="J35" s="986"/>
      <c r="K35" s="986"/>
      <c r="L35" s="986"/>
      <c r="M35" s="486"/>
      <c r="N35" s="8"/>
      <c r="O35" s="8"/>
      <c r="P35" s="8"/>
      <c r="Q35" s="8"/>
      <c r="R35" s="8"/>
      <c r="S35" s="8"/>
      <c r="T35" s="8"/>
      <c r="U35" s="8"/>
      <c r="V35" s="8"/>
      <c r="W35" s="8"/>
      <c r="X35" s="8"/>
      <c r="Y35" s="8"/>
      <c r="Z35" s="8"/>
      <c r="AA35" s="8"/>
      <c r="AB35" s="8"/>
      <c r="AC35" s="8"/>
    </row>
    <row r="36" spans="1:29" x14ac:dyDescent="0.25">
      <c r="A36" s="480"/>
      <c r="B36" s="986"/>
      <c r="C36" s="986"/>
      <c r="D36" s="986"/>
      <c r="E36" s="986"/>
      <c r="F36" s="986"/>
      <c r="G36" s="986"/>
      <c r="H36" s="986"/>
      <c r="I36" s="986"/>
      <c r="J36" s="986"/>
      <c r="K36" s="986"/>
      <c r="L36" s="986"/>
      <c r="M36" s="486"/>
      <c r="N36" s="8"/>
      <c r="O36" s="8"/>
      <c r="P36" s="8"/>
      <c r="Q36" s="8"/>
      <c r="R36" s="8"/>
      <c r="S36" s="8"/>
      <c r="T36" s="8"/>
      <c r="U36" s="8"/>
      <c r="V36" s="8"/>
      <c r="W36" s="8"/>
      <c r="X36" s="8"/>
      <c r="Y36" s="8"/>
      <c r="Z36" s="8"/>
      <c r="AA36" s="8"/>
      <c r="AB36" s="8"/>
      <c r="AC36" s="8"/>
    </row>
    <row r="37" spans="1:29" x14ac:dyDescent="0.25">
      <c r="A37" s="480"/>
      <c r="B37" s="986"/>
      <c r="C37" s="986"/>
      <c r="D37" s="986"/>
      <c r="E37" s="986"/>
      <c r="F37" s="986"/>
      <c r="G37" s="986"/>
      <c r="H37" s="986"/>
      <c r="I37" s="986"/>
      <c r="J37" s="986"/>
      <c r="K37" s="986"/>
      <c r="L37" s="986"/>
      <c r="M37" s="486"/>
      <c r="N37" s="8"/>
      <c r="O37" s="8"/>
      <c r="P37" s="8"/>
      <c r="Q37" s="8"/>
      <c r="R37" s="8"/>
      <c r="S37" s="8"/>
      <c r="T37" s="8"/>
      <c r="U37" s="8"/>
      <c r="V37" s="8"/>
      <c r="W37" s="8"/>
      <c r="X37" s="8"/>
      <c r="Y37" s="8"/>
      <c r="Z37" s="8"/>
      <c r="AA37" s="8"/>
      <c r="AB37" s="8"/>
      <c r="AC37" s="8"/>
    </row>
    <row r="38" spans="1:29" x14ac:dyDescent="0.25">
      <c r="A38" s="480"/>
      <c r="B38" s="986"/>
      <c r="C38" s="986"/>
      <c r="D38" s="986"/>
      <c r="E38" s="986"/>
      <c r="F38" s="986"/>
      <c r="G38" s="986"/>
      <c r="H38" s="986"/>
      <c r="I38" s="986"/>
      <c r="J38" s="986"/>
      <c r="K38" s="986"/>
      <c r="L38" s="986"/>
      <c r="M38" s="486"/>
      <c r="N38" s="8"/>
      <c r="O38" s="8"/>
      <c r="P38" s="8"/>
      <c r="Q38" s="8"/>
      <c r="R38" s="8"/>
      <c r="S38" s="8"/>
      <c r="T38" s="8"/>
      <c r="U38" s="8"/>
      <c r="V38" s="8"/>
      <c r="W38" s="8"/>
      <c r="X38" s="8"/>
      <c r="Y38" s="8"/>
      <c r="Z38" s="8"/>
      <c r="AA38" s="8"/>
      <c r="AB38" s="8"/>
      <c r="AC38" s="8"/>
    </row>
    <row r="39" spans="1:29" x14ac:dyDescent="0.25">
      <c r="A39" s="480"/>
      <c r="B39" s="986"/>
      <c r="C39" s="986"/>
      <c r="D39" s="986"/>
      <c r="E39" s="986"/>
      <c r="F39" s="986"/>
      <c r="G39" s="986"/>
      <c r="H39" s="986"/>
      <c r="I39" s="986"/>
      <c r="J39" s="986"/>
      <c r="K39" s="986"/>
      <c r="L39" s="986"/>
      <c r="M39" s="486"/>
      <c r="N39" s="8"/>
      <c r="O39" s="8"/>
      <c r="P39" s="8"/>
      <c r="Q39" s="8"/>
      <c r="R39" s="8"/>
      <c r="S39" s="8"/>
      <c r="T39" s="8"/>
      <c r="U39" s="8"/>
      <c r="V39" s="8"/>
      <c r="W39" s="8"/>
      <c r="X39" s="8"/>
      <c r="Y39" s="8"/>
      <c r="Z39" s="8"/>
      <c r="AA39" s="8"/>
      <c r="AB39" s="8"/>
      <c r="AC39" s="8"/>
    </row>
    <row r="40" spans="1:29" x14ac:dyDescent="0.25">
      <c r="A40" s="480"/>
      <c r="B40" s="986"/>
      <c r="C40" s="986"/>
      <c r="D40" s="986"/>
      <c r="E40" s="986"/>
      <c r="F40" s="986"/>
      <c r="G40" s="986"/>
      <c r="H40" s="986"/>
      <c r="I40" s="986"/>
      <c r="J40" s="986"/>
      <c r="K40" s="986"/>
      <c r="L40" s="986"/>
      <c r="M40" s="486"/>
      <c r="N40" s="8"/>
      <c r="O40" s="8"/>
      <c r="P40" s="8"/>
      <c r="Q40" s="8"/>
      <c r="R40" s="8"/>
      <c r="S40" s="8"/>
      <c r="T40" s="8"/>
      <c r="U40" s="8"/>
      <c r="V40" s="8"/>
      <c r="W40" s="8"/>
      <c r="X40" s="8"/>
      <c r="Y40" s="8"/>
      <c r="Z40" s="8"/>
      <c r="AA40" s="8"/>
      <c r="AB40" s="8"/>
      <c r="AC40" s="8"/>
    </row>
    <row r="41" spans="1:29" x14ac:dyDescent="0.25">
      <c r="A41" s="480"/>
      <c r="B41" s="986"/>
      <c r="C41" s="986"/>
      <c r="D41" s="986"/>
      <c r="E41" s="986"/>
      <c r="F41" s="986"/>
      <c r="G41" s="986"/>
      <c r="H41" s="986"/>
      <c r="I41" s="986"/>
      <c r="J41" s="986"/>
      <c r="K41" s="986"/>
      <c r="L41" s="986"/>
      <c r="M41" s="486"/>
      <c r="N41" s="8"/>
      <c r="O41" s="8"/>
      <c r="P41" s="8"/>
      <c r="Q41" s="8"/>
      <c r="R41" s="8"/>
      <c r="S41" s="8"/>
      <c r="T41" s="8"/>
      <c r="U41" s="8"/>
      <c r="V41" s="8"/>
      <c r="W41" s="8"/>
      <c r="X41" s="8"/>
      <c r="Y41" s="8"/>
      <c r="Z41" s="8"/>
      <c r="AA41" s="8"/>
      <c r="AB41" s="8"/>
      <c r="AC41" s="8"/>
    </row>
    <row r="42" spans="1:29" x14ac:dyDescent="0.25">
      <c r="A42" s="480"/>
      <c r="B42" s="986"/>
      <c r="C42" s="986"/>
      <c r="D42" s="986"/>
      <c r="E42" s="986"/>
      <c r="F42" s="986"/>
      <c r="G42" s="986"/>
      <c r="H42" s="986"/>
      <c r="I42" s="986"/>
      <c r="J42" s="986"/>
      <c r="K42" s="986"/>
      <c r="L42" s="986"/>
      <c r="M42" s="486"/>
      <c r="N42" s="8"/>
      <c r="O42" s="8"/>
      <c r="P42" s="8"/>
      <c r="Q42" s="8"/>
      <c r="R42" s="8"/>
      <c r="S42" s="8"/>
      <c r="T42" s="8"/>
      <c r="U42" s="8"/>
      <c r="V42" s="8"/>
      <c r="W42" s="8"/>
      <c r="X42" s="8"/>
      <c r="Y42" s="8"/>
      <c r="Z42" s="8"/>
      <c r="AA42" s="8"/>
      <c r="AB42" s="8"/>
      <c r="AC42" s="8"/>
    </row>
    <row r="43" spans="1:29" x14ac:dyDescent="0.25">
      <c r="A43" s="480"/>
      <c r="B43" s="986"/>
      <c r="C43" s="986"/>
      <c r="D43" s="986"/>
      <c r="E43" s="986"/>
      <c r="F43" s="986"/>
      <c r="G43" s="986"/>
      <c r="H43" s="986"/>
      <c r="I43" s="986"/>
      <c r="J43" s="986"/>
      <c r="K43" s="986"/>
      <c r="L43" s="986"/>
      <c r="M43" s="486"/>
      <c r="N43" s="8"/>
      <c r="O43" s="8"/>
      <c r="P43" s="8"/>
      <c r="Q43" s="8"/>
      <c r="R43" s="8"/>
      <c r="S43" s="8"/>
      <c r="T43" s="8"/>
      <c r="U43" s="8"/>
      <c r="V43" s="8"/>
      <c r="W43" s="8"/>
      <c r="X43" s="8"/>
      <c r="Y43" s="8"/>
      <c r="Z43" s="8"/>
      <c r="AA43" s="8"/>
      <c r="AB43" s="8"/>
      <c r="AC43" s="8"/>
    </row>
    <row r="44" spans="1:29" x14ac:dyDescent="0.25">
      <c r="A44" s="481"/>
      <c r="B44" s="987"/>
      <c r="C44" s="987"/>
      <c r="D44" s="987"/>
      <c r="E44" s="987"/>
      <c r="F44" s="987"/>
      <c r="G44" s="987"/>
      <c r="H44" s="987"/>
      <c r="I44" s="987"/>
      <c r="J44" s="987"/>
      <c r="K44" s="987"/>
      <c r="L44" s="987"/>
      <c r="M44" s="601"/>
      <c r="N44" s="8"/>
      <c r="O44" s="8"/>
      <c r="P44" s="8"/>
      <c r="Q44" s="8"/>
      <c r="R44" s="8"/>
      <c r="S44" s="8"/>
      <c r="T44" s="8"/>
      <c r="U44" s="8"/>
      <c r="V44" s="8"/>
      <c r="W44" s="8"/>
      <c r="X44" s="8"/>
      <c r="Y44" s="8"/>
      <c r="Z44" s="8"/>
      <c r="AA44" s="8"/>
      <c r="AB44" s="8"/>
      <c r="AC44" s="8"/>
    </row>
    <row r="45" spans="1:29" x14ac:dyDescent="0.25">
      <c r="A45" s="8"/>
      <c r="B45" s="479"/>
      <c r="C45" s="479"/>
      <c r="D45" s="479"/>
      <c r="E45" s="479"/>
      <c r="F45" s="479"/>
      <c r="G45" s="479"/>
      <c r="H45" s="479"/>
      <c r="I45" s="479"/>
      <c r="J45" s="479"/>
      <c r="K45" s="479"/>
      <c r="L45" s="479"/>
      <c r="M45" s="8"/>
      <c r="N45" s="8"/>
      <c r="O45" s="8"/>
      <c r="P45" s="8"/>
      <c r="Q45" s="8"/>
      <c r="R45" s="8"/>
      <c r="S45" s="8"/>
      <c r="T45" s="8"/>
      <c r="U45" s="8"/>
      <c r="V45" s="8"/>
      <c r="W45" s="8"/>
      <c r="X45" s="8"/>
      <c r="Y45" s="8"/>
      <c r="Z45" s="8"/>
      <c r="AA45" s="8"/>
      <c r="AB45" s="8"/>
      <c r="AC45" s="8"/>
    </row>
    <row r="46" spans="1:29" x14ac:dyDescent="0.25">
      <c r="A46" s="8"/>
      <c r="B46" s="479"/>
      <c r="C46" s="479"/>
      <c r="D46" s="479"/>
      <c r="E46" s="479"/>
      <c r="F46" s="479"/>
      <c r="G46" s="479"/>
      <c r="H46" s="479"/>
      <c r="I46" s="479"/>
      <c r="J46" s="479"/>
      <c r="K46" s="479"/>
      <c r="L46" s="479"/>
      <c r="M46" s="8"/>
      <c r="N46" s="8"/>
      <c r="O46" s="8"/>
      <c r="P46" s="8"/>
      <c r="Q46" s="8"/>
      <c r="R46" s="8"/>
      <c r="S46" s="8"/>
      <c r="T46" s="8"/>
      <c r="U46" s="8"/>
      <c r="V46" s="8"/>
      <c r="W46" s="8"/>
      <c r="X46" s="8"/>
      <c r="Y46" s="8"/>
      <c r="Z46" s="8"/>
      <c r="AA46" s="8"/>
      <c r="AB46" s="8"/>
      <c r="AC46" s="8"/>
    </row>
    <row r="47" spans="1:29" x14ac:dyDescent="0.25">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row>
    <row r="48" spans="1:29" x14ac:dyDescent="0.25">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row>
    <row r="49" spans="1:29" x14ac:dyDescent="0.25">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row>
    <row r="50" spans="1:29" x14ac:dyDescent="0.25">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row>
    <row r="51" spans="1:29" x14ac:dyDescent="0.25">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row>
    <row r="52" spans="1:29" x14ac:dyDescent="0.25">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row>
    <row r="53" spans="1:29" x14ac:dyDescent="0.25">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x14ac:dyDescent="0.25">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x14ac:dyDescent="0.25">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x14ac:dyDescent="0.25">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x14ac:dyDescent="0.25">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x14ac:dyDescent="0.25">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x14ac:dyDescent="0.25">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x14ac:dyDescent="0.25">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x14ac:dyDescent="0.25">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x14ac:dyDescent="0.25">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x14ac:dyDescent="0.25">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x14ac:dyDescent="0.25">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x14ac:dyDescent="0.25">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x14ac:dyDescent="0.25">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x14ac:dyDescent="0.25">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x14ac:dyDescent="0.25">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x14ac:dyDescent="0.25">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x14ac:dyDescent="0.25">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x14ac:dyDescent="0.25">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x14ac:dyDescent="0.25">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x14ac:dyDescent="0.25">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x14ac:dyDescent="0.25">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x14ac:dyDescent="0.25">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x14ac:dyDescent="0.25">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x14ac:dyDescent="0.25">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x14ac:dyDescent="0.25">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x14ac:dyDescent="0.25">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x14ac:dyDescent="0.2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x14ac:dyDescent="0.25">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x14ac:dyDescent="0.25">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x14ac:dyDescent="0.25">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x14ac:dyDescent="0.25">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x14ac:dyDescent="0.25">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x14ac:dyDescent="0.25">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x14ac:dyDescent="0.25">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x14ac:dyDescent="0.2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x14ac:dyDescent="0.2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x14ac:dyDescent="0.25">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x14ac:dyDescent="0.25">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x14ac:dyDescent="0.25">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x14ac:dyDescent="0.25">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x14ac:dyDescent="0.25">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x14ac:dyDescent="0.25">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x14ac:dyDescent="0.2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sheetData>
  <sheetProtection algorithmName="SHA-512" hashValue="wotS6rVKUK7TlLUIWmOAQDg0txLd5PlMIykrjMeQx7XFIcYR1Om8nIdKMfT8SQCGAv9EEgcvtDY/41RCQsoSLQ==" saltValue="KBxVSjVzIy6iSjMGZh36Hw==" spinCount="100000" sheet="1" selectLockedCells="1"/>
  <protectedRanges>
    <protectedRange sqref="D7 D3:H5" name="Eingabe Übersicht"/>
  </protectedRanges>
  <mergeCells count="15">
    <mergeCell ref="B8:E9"/>
    <mergeCell ref="H8:K9"/>
    <mergeCell ref="H10:K18"/>
    <mergeCell ref="B10:E18"/>
    <mergeCell ref="B25:L44"/>
    <mergeCell ref="B23:H23"/>
    <mergeCell ref="K7:L7"/>
    <mergeCell ref="D5:H5"/>
    <mergeCell ref="B5:C5"/>
    <mergeCell ref="D3:H3"/>
    <mergeCell ref="B2:C2"/>
    <mergeCell ref="E2:F2"/>
    <mergeCell ref="D4:H4"/>
    <mergeCell ref="B3:C3"/>
    <mergeCell ref="B4:C4"/>
  </mergeCells>
  <pageMargins left="0.7" right="0.7" top="0.75" bottom="0.75" header="0.3" footer="0.3"/>
  <pageSetup paperSize="9" orientation="portrait" r:id="rId1"/>
  <rowBreaks count="1" manualBreakCount="1">
    <brk id="44" max="16383" man="1"/>
  </rowBreaks>
  <customProperties>
    <customPr name="_pios_id" r:id="rId2"/>
  </customProperties>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Texte_Sprachen!$C$1:$I$1</xm:f>
          </x14:formula1>
          <xm:sqref>D6</xm:sqref>
        </x14:dataValidation>
        <x14:dataValidation type="list" allowBlank="1" showInputMessage="1" showErrorMessage="1" xr:uid="{1DAA3E4C-2C97-4981-9547-1DE75F1F743B}">
          <x14:formula1>
            <xm:f>Texte_Sprachen!$C$1:$F$1</xm:f>
          </x14:formula1>
          <xm:sqref>D7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60316-617E-46F9-B219-F6BC3B1040EA}">
  <sheetPr codeName="Tabelle10"/>
  <dimension ref="A1:AA167"/>
  <sheetViews>
    <sheetView zoomScale="85" zoomScaleNormal="85" workbookViewId="0">
      <pane xSplit="2" ySplit="1" topLeftCell="C139" activePane="bottomRight" state="frozen"/>
      <selection activeCell="F175" sqref="F175"/>
      <selection pane="topRight" activeCell="F175" sqref="F175"/>
      <selection pane="bottomLeft" activeCell="F175" sqref="F175"/>
      <selection pane="bottomRight" activeCell="E74" sqref="E74"/>
    </sheetView>
  </sheetViews>
  <sheetFormatPr baseColWidth="10" defaultColWidth="11.42578125" defaultRowHeight="15" x14ac:dyDescent="0.25"/>
  <cols>
    <col min="1" max="1" width="11.42578125" style="627"/>
    <col min="2" max="2" width="51" style="950" bestFit="1" customWidth="1"/>
    <col min="3" max="3" width="44" style="457" bestFit="1" customWidth="1"/>
    <col min="4" max="4" width="40.7109375" style="457" customWidth="1"/>
    <col min="5" max="5" width="40.7109375" style="445" customWidth="1"/>
    <col min="6" max="6" width="40.7109375" style="941" customWidth="1"/>
    <col min="7" max="9" width="40.7109375" style="445" customWidth="1"/>
  </cols>
  <sheetData>
    <row r="1" spans="1:9" ht="15.75" thickBot="1" x14ac:dyDescent="0.3">
      <c r="A1" s="626" t="s">
        <v>20</v>
      </c>
      <c r="B1" s="455" t="s">
        <v>21</v>
      </c>
      <c r="C1" s="455" t="s">
        <v>19</v>
      </c>
      <c r="D1" s="455" t="s">
        <v>22</v>
      </c>
      <c r="E1" s="443" t="s">
        <v>571</v>
      </c>
      <c r="F1" s="943" t="s">
        <v>24</v>
      </c>
      <c r="G1" s="443" t="s">
        <v>23</v>
      </c>
      <c r="H1" s="443" t="s">
        <v>570</v>
      </c>
      <c r="I1" s="443" t="s">
        <v>25</v>
      </c>
    </row>
    <row r="2" spans="1:9" ht="15" customHeight="1" x14ac:dyDescent="0.25">
      <c r="A2" s="992" t="s">
        <v>26</v>
      </c>
      <c r="B2" s="949" t="str">
        <f>INDEX(C2:I2,1,MATCH(PRZEGLAD!$D$7,$C$1:$I$1))</f>
        <v>Dane projektu</v>
      </c>
      <c r="C2" s="456" t="s">
        <v>27</v>
      </c>
      <c r="D2" s="456" t="s">
        <v>662</v>
      </c>
      <c r="E2" s="444" t="s">
        <v>572</v>
      </c>
      <c r="F2" s="944" t="s">
        <v>780</v>
      </c>
      <c r="G2" s="444"/>
      <c r="H2" s="444"/>
      <c r="I2" s="444"/>
    </row>
    <row r="3" spans="1:9" ht="15" customHeight="1" x14ac:dyDescent="0.25">
      <c r="A3" s="993"/>
      <c r="B3" s="950" t="str">
        <f>INDEX(C3:I3,1,MATCH(PRZEGLAD!$D$7,$C$1:$I$1))</f>
        <v>Nazwa obiektu</v>
      </c>
      <c r="C3" s="457" t="s">
        <v>28</v>
      </c>
      <c r="D3" s="457" t="s">
        <v>779</v>
      </c>
      <c r="E3" s="445" t="s">
        <v>573</v>
      </c>
      <c r="F3" s="941" t="s">
        <v>781</v>
      </c>
    </row>
    <row r="4" spans="1:9" ht="15" customHeight="1" x14ac:dyDescent="0.25">
      <c r="A4" s="993"/>
      <c r="B4" s="950" t="str">
        <f>INDEX(C4:I4,1,MATCH(PRZEGLAD!$D$7,$C$1:$I$1))</f>
        <v>Numer obiektu</v>
      </c>
      <c r="C4" s="457" t="s">
        <v>29</v>
      </c>
      <c r="D4" s="457" t="s">
        <v>663</v>
      </c>
      <c r="E4" s="445" t="s">
        <v>574</v>
      </c>
      <c r="F4" s="941" t="s">
        <v>782</v>
      </c>
    </row>
    <row r="5" spans="1:9" ht="15" customHeight="1" x14ac:dyDescent="0.25">
      <c r="A5" s="993"/>
      <c r="B5" s="950" t="str">
        <f>INDEX(C5:I5,1,MATCH(PRZEGLAD!$D$7,$C$1:$I$1))</f>
        <v>Opracował</v>
      </c>
      <c r="C5" s="457" t="s">
        <v>30</v>
      </c>
      <c r="D5" s="457" t="s">
        <v>664</v>
      </c>
      <c r="E5" s="445" t="s">
        <v>575</v>
      </c>
      <c r="F5" s="941" t="s">
        <v>783</v>
      </c>
    </row>
    <row r="6" spans="1:9" x14ac:dyDescent="0.25">
      <c r="A6" s="993"/>
      <c r="B6" s="950" t="str">
        <f>INDEX(C6:I6,1,MATCH(PRZEGLAD!$D$7,$C$1:$I$1))</f>
        <v>Pozycja</v>
      </c>
      <c r="C6" s="457" t="s">
        <v>31</v>
      </c>
      <c r="D6" s="457" t="s">
        <v>665</v>
      </c>
      <c r="E6" s="445" t="s">
        <v>576</v>
      </c>
      <c r="F6" s="941" t="s">
        <v>784</v>
      </c>
    </row>
    <row r="7" spans="1:9" x14ac:dyDescent="0.25">
      <c r="A7" s="993"/>
      <c r="B7" s="950" t="str">
        <f>INDEX(C7:I7,1,MATCH(PRZEGLAD!$D$7,$C$1:$I$1))</f>
        <v>Element budowlany</v>
      </c>
      <c r="C7" s="457" t="s">
        <v>32</v>
      </c>
      <c r="D7" s="457" t="s">
        <v>666</v>
      </c>
      <c r="E7" s="445" t="s">
        <v>577</v>
      </c>
      <c r="F7" s="941" t="s">
        <v>785</v>
      </c>
    </row>
    <row r="8" spans="1:9" x14ac:dyDescent="0.25">
      <c r="A8" s="993"/>
      <c r="B8" s="950" t="str">
        <f>INDEX(C8:I8,1,MATCH(PRZEGLAD!$D$7,$C$1:$I$1))</f>
        <v xml:space="preserve">Ilość </v>
      </c>
      <c r="C8" s="457" t="s">
        <v>33</v>
      </c>
      <c r="D8" s="457" t="s">
        <v>667</v>
      </c>
      <c r="E8" s="445" t="s">
        <v>578</v>
      </c>
      <c r="F8" s="941" t="s">
        <v>786</v>
      </c>
    </row>
    <row r="9" spans="1:9" x14ac:dyDescent="0.25">
      <c r="A9" s="993"/>
      <c r="B9" s="950" t="str">
        <f>INDEX(C9:I9,1,MATCH(PRZEGLAD!$D$7,$C$1:$I$1))</f>
        <v>Kraj</v>
      </c>
      <c r="C9" s="457" t="s">
        <v>34</v>
      </c>
      <c r="D9" s="457" t="s">
        <v>668</v>
      </c>
      <c r="E9" s="445" t="s">
        <v>579</v>
      </c>
      <c r="F9" s="941" t="s">
        <v>787</v>
      </c>
    </row>
    <row r="10" spans="1:9" x14ac:dyDescent="0.25">
      <c r="A10" s="993"/>
      <c r="B10" s="950" t="str">
        <f>INDEX(C10:I10,1,MATCH(PRZEGLAD!$D$7,$C$1:$I$1))</f>
        <v>Język</v>
      </c>
      <c r="C10" s="457" t="s">
        <v>35</v>
      </c>
      <c r="D10" s="457" t="s">
        <v>669</v>
      </c>
      <c r="E10" s="445" t="s">
        <v>580</v>
      </c>
      <c r="F10" s="941" t="s">
        <v>788</v>
      </c>
    </row>
    <row r="11" spans="1:9" x14ac:dyDescent="0.25">
      <c r="A11" s="993"/>
      <c r="B11" s="950" t="str">
        <f>INDEX(C11:I11,1,MATCH(PRZEGLAD!$D$7,$C$1:$I$1))</f>
        <v>Data</v>
      </c>
      <c r="C11" s="457" t="s">
        <v>36</v>
      </c>
      <c r="D11" s="457" t="s">
        <v>670</v>
      </c>
      <c r="E11" s="445" t="s">
        <v>581</v>
      </c>
      <c r="F11" s="941" t="s">
        <v>789</v>
      </c>
    </row>
    <row r="12" spans="1:9" x14ac:dyDescent="0.25">
      <c r="A12" s="993"/>
      <c r="B12" s="950" t="str">
        <f>INDEX(C12:I12,1,MATCH(PRZEGLAD!$D$7,$C$1:$I$1))</f>
        <v>Bieg (ze spocznikiem)</v>
      </c>
      <c r="C12" s="457" t="s">
        <v>37</v>
      </c>
      <c r="D12" s="457" t="s">
        <v>671</v>
      </c>
      <c r="E12" s="445" t="s">
        <v>910</v>
      </c>
      <c r="F12" s="941" t="s">
        <v>790</v>
      </c>
    </row>
    <row r="13" spans="1:9" ht="15.75" thickBot="1" x14ac:dyDescent="0.3">
      <c r="A13" s="994"/>
      <c r="B13" s="951" t="str">
        <f>INDEX(C13:I13,1,MATCH(PRZEGLAD!$D$7,$C$1:$I$1))</f>
        <v>Spocznik</v>
      </c>
      <c r="C13" s="458" t="s">
        <v>2</v>
      </c>
      <c r="D13" s="458" t="s">
        <v>672</v>
      </c>
      <c r="E13" s="446" t="s">
        <v>582</v>
      </c>
      <c r="F13" s="942" t="s">
        <v>791</v>
      </c>
      <c r="G13" s="446"/>
      <c r="H13" s="446"/>
      <c r="I13" s="446"/>
    </row>
    <row r="14" spans="1:9" x14ac:dyDescent="0.25">
      <c r="A14" s="992" t="s">
        <v>38</v>
      </c>
      <c r="B14" s="949" t="str">
        <f>INDEX(C14:I14,1,MATCH(PRZEGLAD!$D$7,$C$1:$I$1))</f>
        <v>Dane ogólne</v>
      </c>
      <c r="C14" s="456" t="s">
        <v>39</v>
      </c>
      <c r="D14" s="456" t="s">
        <v>673</v>
      </c>
      <c r="E14" s="444" t="s">
        <v>583</v>
      </c>
      <c r="F14" s="944" t="s">
        <v>792</v>
      </c>
      <c r="G14" s="444"/>
      <c r="H14" s="444"/>
      <c r="I14" s="444"/>
    </row>
    <row r="15" spans="1:9" x14ac:dyDescent="0.25">
      <c r="A15" s="993"/>
      <c r="B15" s="950" t="str">
        <f>INDEX(C15:I15,1,MATCH(PRZEGLAD!$D$7,$C$1:$I$1))</f>
        <v>System</v>
      </c>
      <c r="C15" s="457" t="s">
        <v>40</v>
      </c>
      <c r="D15" s="457" t="s">
        <v>674</v>
      </c>
      <c r="E15" s="445" t="s">
        <v>40</v>
      </c>
      <c r="F15" s="941" t="s">
        <v>793</v>
      </c>
    </row>
    <row r="16" spans="1:9" x14ac:dyDescent="0.25">
      <c r="A16" s="993"/>
      <c r="B16" s="950" t="str">
        <f>INDEX(C16:I16,1,MATCH(PRZEGLAD!$D$7,$C$1:$I$1))</f>
        <v>Ochrona ppoż.</v>
      </c>
      <c r="C16" s="457" t="s">
        <v>41</v>
      </c>
      <c r="D16" s="457" t="s">
        <v>675</v>
      </c>
      <c r="E16" s="445" t="s">
        <v>584</v>
      </c>
      <c r="F16" s="941" t="s">
        <v>794</v>
      </c>
    </row>
    <row r="17" spans="1:6" x14ac:dyDescent="0.25">
      <c r="A17" s="993"/>
      <c r="B17" s="950" t="str">
        <f>INDEX(C17:I17,1,MATCH(PRZEGLAD!$D$7,$C$1:$I$1))</f>
        <v>Wykonanie</v>
      </c>
      <c r="C17" s="457" t="s">
        <v>42</v>
      </c>
      <c r="D17" s="457" t="s">
        <v>676</v>
      </c>
      <c r="E17" s="445" t="s">
        <v>585</v>
      </c>
      <c r="F17" s="941" t="s">
        <v>795</v>
      </c>
    </row>
    <row r="18" spans="1:6" x14ac:dyDescent="0.25">
      <c r="A18" s="993"/>
      <c r="B18" s="950" t="str">
        <f>INDEX(C18:I18,1,MATCH(PRZEGLAD!$D$7,$C$1:$I$1))</f>
        <v>Klasa betonu</v>
      </c>
      <c r="C18" s="457" t="s">
        <v>43</v>
      </c>
      <c r="D18" s="457" t="s">
        <v>677</v>
      </c>
      <c r="E18" s="445" t="s">
        <v>586</v>
      </c>
      <c r="F18" s="941" t="s">
        <v>796</v>
      </c>
    </row>
    <row r="19" spans="1:6" x14ac:dyDescent="0.25">
      <c r="A19" s="993"/>
      <c r="B19" s="950" t="str">
        <f>INDEX(C19:I19,1,MATCH(PRZEGLAD!$D$7,$C$1:$I$1))</f>
        <v>Beton monolityczny</v>
      </c>
      <c r="C19" s="457" t="s">
        <v>563</v>
      </c>
      <c r="D19" s="457" t="s">
        <v>678</v>
      </c>
      <c r="E19" s="445" t="s">
        <v>587</v>
      </c>
      <c r="F19" s="941" t="s">
        <v>797</v>
      </c>
    </row>
    <row r="20" spans="1:6" x14ac:dyDescent="0.25">
      <c r="A20" s="993"/>
      <c r="B20" s="950" t="str">
        <f>INDEX(C20:I20,1,MATCH(PRZEGLAD!$D$7,$C$1:$I$1))</f>
        <v>Prefabrykat (pozytyw)</v>
      </c>
      <c r="C20" s="457" t="s">
        <v>564</v>
      </c>
      <c r="D20" s="457" t="s">
        <v>679</v>
      </c>
      <c r="E20" s="445" t="s">
        <v>588</v>
      </c>
      <c r="F20" s="941" t="s">
        <v>798</v>
      </c>
    </row>
    <row r="21" spans="1:6" x14ac:dyDescent="0.25">
      <c r="A21" s="993"/>
      <c r="B21" s="950" t="str">
        <f>INDEX(C21:I21,1,MATCH(PRZEGLAD!$D$7,$C$1:$I$1))</f>
        <v>Prefabrykat (negatyw)</v>
      </c>
      <c r="C21" s="457" t="s">
        <v>565</v>
      </c>
      <c r="D21" s="457" t="s">
        <v>680</v>
      </c>
      <c r="E21" s="445" t="s">
        <v>589</v>
      </c>
      <c r="F21" s="941" t="s">
        <v>799</v>
      </c>
    </row>
    <row r="22" spans="1:6" x14ac:dyDescent="0.25">
      <c r="A22" s="993"/>
      <c r="B22" s="950" t="str">
        <f>INDEX(C22:I22,1,MATCH(PRZEGLAD!$D$7,$C$1:$I$1))</f>
        <v xml:space="preserve">nieokreślony </v>
      </c>
      <c r="C22" s="457" t="s">
        <v>183</v>
      </c>
      <c r="D22" s="457" t="s">
        <v>681</v>
      </c>
      <c r="E22" s="445" t="s">
        <v>590</v>
      </c>
      <c r="F22" s="941" t="s">
        <v>800</v>
      </c>
    </row>
    <row r="23" spans="1:6" x14ac:dyDescent="0.25">
      <c r="A23" s="993"/>
      <c r="B23" s="950" t="str">
        <f>INDEX(C23:I23,1,MATCH(PRZEGLAD!$D$7,$C$1:$I$1))</f>
        <v>Geometria</v>
      </c>
      <c r="C23" s="457" t="s">
        <v>44</v>
      </c>
      <c r="D23" s="457" t="s">
        <v>682</v>
      </c>
      <c r="E23" s="445" t="s">
        <v>591</v>
      </c>
      <c r="F23" s="941" t="s">
        <v>801</v>
      </c>
    </row>
    <row r="24" spans="1:6" x14ac:dyDescent="0.25">
      <c r="A24" s="993"/>
      <c r="B24" s="950" t="str">
        <f>INDEX(C24:I24,1,MATCH(PRZEGLAD!$D$7,$C$1:$I$1))</f>
        <v>Długość biegu</v>
      </c>
      <c r="C24" s="457" t="s">
        <v>45</v>
      </c>
      <c r="D24" s="457" t="s">
        <v>683</v>
      </c>
      <c r="E24" s="445" t="s">
        <v>592</v>
      </c>
      <c r="F24" s="941" t="s">
        <v>802</v>
      </c>
    </row>
    <row r="25" spans="1:6" x14ac:dyDescent="0.25">
      <c r="A25" s="993"/>
      <c r="B25" s="950" t="str">
        <f>INDEX(C25:I25,1,MATCH(PRZEGLAD!$D$7,$C$1:$I$1))</f>
        <v>Długość biegu poz.</v>
      </c>
      <c r="C25" s="457" t="s">
        <v>46</v>
      </c>
      <c r="D25" s="457" t="s">
        <v>684</v>
      </c>
      <c r="E25" s="445" t="s">
        <v>593</v>
      </c>
      <c r="F25" s="941" t="s">
        <v>803</v>
      </c>
    </row>
    <row r="26" spans="1:6" x14ac:dyDescent="0.25">
      <c r="A26" s="993"/>
      <c r="B26" s="950" t="str">
        <f>INDEX(C26:I26,1,MATCH(PRZEGLAD!$D$7,$C$1:$I$1))</f>
        <v>Długość biegu pion.</v>
      </c>
      <c r="C26" s="457" t="s">
        <v>47</v>
      </c>
      <c r="D26" s="457" t="s">
        <v>685</v>
      </c>
      <c r="E26" s="445" t="s">
        <v>594</v>
      </c>
      <c r="F26" s="941" t="s">
        <v>804</v>
      </c>
    </row>
    <row r="27" spans="1:6" x14ac:dyDescent="0.25">
      <c r="A27" s="993"/>
      <c r="B27" s="950" t="str">
        <f>INDEX(C27:I27,1,MATCH(PRZEGLAD!$D$7,$C$1:$I$1))</f>
        <v>Ilość stopni</v>
      </c>
      <c r="C27" s="457" t="s">
        <v>48</v>
      </c>
      <c r="D27" s="457" t="s">
        <v>686</v>
      </c>
      <c r="E27" s="445" t="s">
        <v>595</v>
      </c>
      <c r="F27" s="941" t="s">
        <v>805</v>
      </c>
    </row>
    <row r="28" spans="1:6" x14ac:dyDescent="0.25">
      <c r="A28" s="993"/>
      <c r="B28" s="950" t="str">
        <f>INDEX(C28:I28,1,MATCH(PRZEGLAD!$D$7,$C$1:$I$1))</f>
        <v>Szerokość stopnia</v>
      </c>
      <c r="C28" s="457" t="s">
        <v>49</v>
      </c>
      <c r="D28" s="457" t="s">
        <v>687</v>
      </c>
      <c r="E28" s="445" t="s">
        <v>596</v>
      </c>
      <c r="F28" s="941" t="s">
        <v>806</v>
      </c>
    </row>
    <row r="29" spans="1:6" x14ac:dyDescent="0.25">
      <c r="A29" s="993"/>
      <c r="B29" s="950" t="str">
        <f>INDEX(C29:I29,1,MATCH(PRZEGLAD!$D$7,$C$1:$I$1))</f>
        <v>Wysokość stopnia</v>
      </c>
      <c r="C29" s="457" t="s">
        <v>50</v>
      </c>
      <c r="D29" s="457" t="s">
        <v>688</v>
      </c>
      <c r="E29" s="445" t="s">
        <v>597</v>
      </c>
      <c r="F29" s="941" t="s">
        <v>807</v>
      </c>
    </row>
    <row r="30" spans="1:6" x14ac:dyDescent="0.25">
      <c r="A30" s="993"/>
      <c r="B30" s="950" t="str">
        <f>INDEX(C30:I30,1,MATCH(PRZEGLAD!$D$7,$C$1:$I$1))</f>
        <v>Grubość biegu</v>
      </c>
      <c r="C30" s="457" t="s">
        <v>51</v>
      </c>
      <c r="D30" s="457" t="s">
        <v>689</v>
      </c>
      <c r="E30" s="445" t="s">
        <v>598</v>
      </c>
      <c r="F30" s="941" t="s">
        <v>808</v>
      </c>
    </row>
    <row r="31" spans="1:6" x14ac:dyDescent="0.25">
      <c r="A31" s="993"/>
      <c r="B31" s="950" t="str">
        <f>INDEX(C31:I31,1,MATCH(PRZEGLAD!$D$7,$C$1:$I$1))</f>
        <v>Szerokość biegu</v>
      </c>
      <c r="C31" s="457" t="s">
        <v>52</v>
      </c>
      <c r="D31" s="457" t="s">
        <v>690</v>
      </c>
      <c r="E31" s="445" t="s">
        <v>599</v>
      </c>
      <c r="F31" s="941" t="s">
        <v>809</v>
      </c>
    </row>
    <row r="32" spans="1:6" x14ac:dyDescent="0.25">
      <c r="A32" s="993"/>
      <c r="B32" s="950" t="str">
        <f>INDEX(C32:I32,1,MATCH(PRZEGLAD!$D$7,$C$1:$I$1))</f>
        <v>Wysokość na dole</v>
      </c>
      <c r="C32" s="457" t="s">
        <v>53</v>
      </c>
      <c r="D32" s="457" t="s">
        <v>691</v>
      </c>
      <c r="E32" s="445" t="s">
        <v>924</v>
      </c>
      <c r="F32" s="941" t="s">
        <v>810</v>
      </c>
    </row>
    <row r="33" spans="1:6" x14ac:dyDescent="0.25">
      <c r="A33" s="993"/>
      <c r="B33" s="950" t="str">
        <f>INDEX(C33:I33,1,MATCH(PRZEGLAD!$D$7,$C$1:$I$1))</f>
        <v>Długość na dole</v>
      </c>
      <c r="C33" s="457" t="s">
        <v>54</v>
      </c>
      <c r="D33" s="457" t="s">
        <v>692</v>
      </c>
      <c r="E33" s="445" t="s">
        <v>925</v>
      </c>
      <c r="F33" s="941" t="s">
        <v>811</v>
      </c>
    </row>
    <row r="34" spans="1:6" x14ac:dyDescent="0.25">
      <c r="A34" s="993"/>
      <c r="B34" s="950" t="str">
        <f>INDEX(C34:I34,1,MATCH(PRZEGLAD!$D$7,$C$1:$I$1))</f>
        <v>Wysokość na górze</v>
      </c>
      <c r="C34" s="457" t="s">
        <v>55</v>
      </c>
      <c r="D34" s="457" t="s">
        <v>693</v>
      </c>
      <c r="E34" s="445" t="s">
        <v>926</v>
      </c>
      <c r="F34" s="941" t="s">
        <v>812</v>
      </c>
    </row>
    <row r="35" spans="1:6" x14ac:dyDescent="0.25">
      <c r="A35" s="993"/>
      <c r="B35" s="950" t="str">
        <f>INDEX(C35:I35,1,MATCH(PRZEGLAD!$D$7,$C$1:$I$1))</f>
        <v>Długość na górze</v>
      </c>
      <c r="C35" s="457" t="s">
        <v>56</v>
      </c>
      <c r="D35" s="457" t="s">
        <v>694</v>
      </c>
      <c r="E35" s="445" t="s">
        <v>927</v>
      </c>
      <c r="F35" s="941" t="s">
        <v>813</v>
      </c>
    </row>
    <row r="36" spans="1:6" x14ac:dyDescent="0.25">
      <c r="A36" s="993"/>
      <c r="B36" s="950" t="str">
        <f>INDEX(C36:I36,1,MATCH(PRZEGLAD!$D$7,$C$1:$I$1))</f>
        <v>Obciążenia</v>
      </c>
      <c r="C36" s="457" t="s">
        <v>57</v>
      </c>
      <c r="D36" s="457" t="s">
        <v>695</v>
      </c>
      <c r="E36" s="445" t="s">
        <v>600</v>
      </c>
      <c r="F36" s="941" t="s">
        <v>814</v>
      </c>
    </row>
    <row r="37" spans="1:6" x14ac:dyDescent="0.25">
      <c r="A37" s="993"/>
      <c r="B37" s="950" t="str">
        <f>INDEX(C37:I37,1,MATCH(PRZEGLAD!$D$7,$C$1:$I$1))</f>
        <v>Obc. stałe</v>
      </c>
      <c r="C37" s="457" t="s">
        <v>58</v>
      </c>
      <c r="D37" s="457" t="s">
        <v>696</v>
      </c>
      <c r="E37" s="445" t="s">
        <v>601</v>
      </c>
      <c r="F37" s="941" t="s">
        <v>815</v>
      </c>
    </row>
    <row r="38" spans="1:6" x14ac:dyDescent="0.25">
      <c r="A38" s="993"/>
      <c r="B38" s="950" t="str">
        <f>INDEX(C38:I38,1,MATCH(PRZEGLAD!$D$7,$C$1:$I$1))</f>
        <v>Obc. zmienne</v>
      </c>
      <c r="C38" s="457" t="s">
        <v>59</v>
      </c>
      <c r="D38" s="457" t="s">
        <v>697</v>
      </c>
      <c r="E38" s="445" t="s">
        <v>602</v>
      </c>
      <c r="F38" s="941" t="s">
        <v>816</v>
      </c>
    </row>
    <row r="39" spans="1:6" x14ac:dyDescent="0.25">
      <c r="A39" s="993"/>
      <c r="B39" s="950" t="str">
        <f>INDEX(C39:I39,1,MATCH(PRZEGLAD!$D$7,$C$1:$I$1))</f>
        <v xml:space="preserve">Beton </v>
      </c>
      <c r="C39" s="457" t="s">
        <v>60</v>
      </c>
      <c r="D39" s="457" t="s">
        <v>698</v>
      </c>
      <c r="E39" s="445" t="s">
        <v>603</v>
      </c>
      <c r="F39" s="941" t="s">
        <v>817</v>
      </c>
    </row>
    <row r="40" spans="1:6" x14ac:dyDescent="0.25">
      <c r="A40" s="993"/>
      <c r="B40" s="950" t="str">
        <f>INDEX(C40:I40,1,MATCH(PRZEGLAD!$D$7,$C$1:$I$1))</f>
        <v>Objętość betonu</v>
      </c>
      <c r="C40" s="457" t="s">
        <v>61</v>
      </c>
      <c r="D40" s="457" t="s">
        <v>699</v>
      </c>
      <c r="E40" s="445" t="s">
        <v>604</v>
      </c>
      <c r="F40" s="941" t="s">
        <v>818</v>
      </c>
    </row>
    <row r="41" spans="1:6" x14ac:dyDescent="0.25">
      <c r="A41" s="993"/>
      <c r="B41" s="950" t="str">
        <f>INDEX(C41:I41,1,MATCH(PRZEGLAD!$D$7,$C$1:$I$1))</f>
        <v>Ciężar własny betonu</v>
      </c>
      <c r="C41" s="457" t="s">
        <v>62</v>
      </c>
      <c r="D41" s="457" t="s">
        <v>700</v>
      </c>
      <c r="E41" s="445" t="s">
        <v>605</v>
      </c>
      <c r="F41" s="941" t="s">
        <v>819</v>
      </c>
    </row>
    <row r="42" spans="1:6" x14ac:dyDescent="0.25">
      <c r="A42" s="993"/>
      <c r="B42" s="950" t="str">
        <f>INDEX(C42:I42,1,MATCH(PRZEGLAD!$D$7,$C$1:$I$1))</f>
        <v>Obciążenie całkowite</v>
      </c>
      <c r="C42" s="457" t="s">
        <v>63</v>
      </c>
      <c r="D42" s="457" t="s">
        <v>701</v>
      </c>
      <c r="E42" s="445" t="s">
        <v>606</v>
      </c>
      <c r="F42" s="941" t="s">
        <v>820</v>
      </c>
    </row>
    <row r="43" spans="1:6" x14ac:dyDescent="0.25">
      <c r="A43" s="993"/>
      <c r="B43" s="950" t="str">
        <f>INDEX(C43:I43,1,MATCH(PRZEGLAD!$D$7,$C$1:$I$1))</f>
        <v>Produkt</v>
      </c>
      <c r="C43" s="457" t="s">
        <v>64</v>
      </c>
      <c r="D43" s="457" t="s">
        <v>702</v>
      </c>
      <c r="E43" s="445" t="s">
        <v>64</v>
      </c>
      <c r="F43" s="941" t="s">
        <v>821</v>
      </c>
    </row>
    <row r="44" spans="1:6" x14ac:dyDescent="0.25">
      <c r="A44" s="993"/>
      <c r="B44" s="950" t="str">
        <f>INDEX(C44:I44,1,MATCH(PRZEGLAD!$D$7,$C$1:$I$1))</f>
        <v>na dole</v>
      </c>
      <c r="C44" s="457" t="s">
        <v>366</v>
      </c>
      <c r="D44" s="457" t="s">
        <v>703</v>
      </c>
      <c r="E44" s="445" t="s">
        <v>607</v>
      </c>
      <c r="F44" s="941" t="s">
        <v>822</v>
      </c>
    </row>
    <row r="45" spans="1:6" x14ac:dyDescent="0.25">
      <c r="A45" s="993"/>
      <c r="B45" s="950" t="str">
        <f>INDEX(C45:I45,1,MATCH(PRZEGLAD!$D$7,$C$1:$I$1))</f>
        <v>na górze</v>
      </c>
      <c r="C45" s="457" t="s">
        <v>367</v>
      </c>
      <c r="D45" s="457" t="s">
        <v>704</v>
      </c>
      <c r="E45" s="445" t="s">
        <v>608</v>
      </c>
      <c r="F45" s="941" t="s">
        <v>823</v>
      </c>
    </row>
    <row r="46" spans="1:6" x14ac:dyDescent="0.25">
      <c r="A46" s="993"/>
      <c r="B46" s="950" t="str">
        <f>INDEX(C46:I46,1,MATCH(PRZEGLAD!$D$7,$C$1:$I$1))</f>
        <v>Podparcie na dole</v>
      </c>
      <c r="C46" s="457" t="s">
        <v>65</v>
      </c>
      <c r="D46" s="457" t="s">
        <v>705</v>
      </c>
      <c r="E46" s="445" t="s">
        <v>609</v>
      </c>
      <c r="F46" s="941" t="s">
        <v>824</v>
      </c>
    </row>
    <row r="47" spans="1:6" x14ac:dyDescent="0.25">
      <c r="A47" s="993"/>
      <c r="B47" s="950" t="str">
        <f>INDEX(C47:I47,1,MATCH(PRZEGLAD!$D$7,$C$1:$I$1))</f>
        <v>Wys. konsoli na dole</v>
      </c>
      <c r="C47" s="457" t="s">
        <v>66</v>
      </c>
      <c r="D47" s="457" t="s">
        <v>706</v>
      </c>
      <c r="E47" s="445" t="s">
        <v>911</v>
      </c>
      <c r="F47" s="941" t="s">
        <v>825</v>
      </c>
    </row>
    <row r="48" spans="1:6" x14ac:dyDescent="0.25">
      <c r="A48" s="993"/>
      <c r="B48" s="950" t="str">
        <f>INDEX(C48:I48,1,MATCH(PRZEGLAD!$D$7,$C$1:$I$1))</f>
        <v>Dł. konsoli na dole</v>
      </c>
      <c r="C48" s="457" t="s">
        <v>67</v>
      </c>
      <c r="D48" s="457" t="s">
        <v>707</v>
      </c>
      <c r="E48" s="445" t="s">
        <v>912</v>
      </c>
      <c r="F48" s="941" t="s">
        <v>826</v>
      </c>
    </row>
    <row r="49" spans="1:9" x14ac:dyDescent="0.25">
      <c r="A49" s="993"/>
      <c r="B49" s="950" t="str">
        <f>INDEX(C49:I49,1,MATCH(PRZEGLAD!$D$7,$C$1:$I$1))</f>
        <v>Szer. dylatacji na dole</v>
      </c>
      <c r="C49" s="457" t="s">
        <v>68</v>
      </c>
      <c r="D49" s="457" t="s">
        <v>708</v>
      </c>
      <c r="E49" s="445" t="s">
        <v>913</v>
      </c>
      <c r="F49" s="941" t="s">
        <v>827</v>
      </c>
    </row>
    <row r="50" spans="1:9" x14ac:dyDescent="0.25">
      <c r="A50" s="993"/>
      <c r="B50" s="950" t="str">
        <f>INDEX(C50:I50,1,MATCH(PRZEGLAD!$D$7,$C$1:$I$1))</f>
        <v>Podparcie na górze</v>
      </c>
      <c r="C50" s="457" t="s">
        <v>69</v>
      </c>
      <c r="D50" s="457" t="s">
        <v>709</v>
      </c>
      <c r="E50" s="445" t="s">
        <v>610</v>
      </c>
      <c r="F50" s="941" t="s">
        <v>828</v>
      </c>
    </row>
    <row r="51" spans="1:9" x14ac:dyDescent="0.25">
      <c r="A51" s="993"/>
      <c r="B51" s="950" t="str">
        <f>INDEX(C51:I51,1,MATCH(PRZEGLAD!$D$7,$C$1:$I$1))</f>
        <v>Wys. konsoli na górze</v>
      </c>
      <c r="C51" s="457" t="s">
        <v>70</v>
      </c>
      <c r="D51" s="457" t="s">
        <v>710</v>
      </c>
      <c r="E51" s="445" t="s">
        <v>914</v>
      </c>
      <c r="F51" s="941" t="s">
        <v>829</v>
      </c>
    </row>
    <row r="52" spans="1:9" x14ac:dyDescent="0.25">
      <c r="A52" s="993"/>
      <c r="B52" s="950" t="str">
        <f>INDEX(C52:I52,1,MATCH(PRZEGLAD!$D$7,$C$1:$I$1))</f>
        <v>Dł. konsoli na górze</v>
      </c>
      <c r="C52" s="457" t="s">
        <v>71</v>
      </c>
      <c r="D52" s="457" t="s">
        <v>711</v>
      </c>
      <c r="E52" s="445" t="s">
        <v>915</v>
      </c>
      <c r="F52" s="941" t="s">
        <v>830</v>
      </c>
    </row>
    <row r="53" spans="1:9" ht="15.75" thickBot="1" x14ac:dyDescent="0.3">
      <c r="A53" s="994"/>
      <c r="B53" s="951" t="str">
        <f>INDEX(C53:I53,1,MATCH(PRZEGLAD!$D$7,$C$1:$I$1))</f>
        <v>Szer. dylatacji na górze</v>
      </c>
      <c r="C53" s="458" t="s">
        <v>72</v>
      </c>
      <c r="D53" s="458" t="s">
        <v>712</v>
      </c>
      <c r="E53" s="446" t="s">
        <v>916</v>
      </c>
      <c r="F53" s="942" t="s">
        <v>831</v>
      </c>
      <c r="G53" s="446"/>
      <c r="H53" s="446"/>
      <c r="I53" s="446"/>
    </row>
    <row r="54" spans="1:9" x14ac:dyDescent="0.25">
      <c r="A54" s="992" t="s">
        <v>73</v>
      </c>
      <c r="B54" s="950" t="str">
        <f>INDEX(C54:I54,1,MATCH(PRZEGLAD!$D$7,$C$1:$I$1))</f>
        <v>Długość spocznika</v>
      </c>
      <c r="C54" s="457" t="s">
        <v>74</v>
      </c>
      <c r="D54" s="457" t="s">
        <v>713</v>
      </c>
      <c r="E54" s="445" t="s">
        <v>611</v>
      </c>
      <c r="F54" s="941" t="s">
        <v>832</v>
      </c>
    </row>
    <row r="55" spans="1:9" x14ac:dyDescent="0.25">
      <c r="A55" s="993"/>
      <c r="B55" s="950" t="str">
        <f>INDEX(C55:I55,1,MATCH(PRZEGLAD!$D$7,$C$1:$I$1))</f>
        <v>Szerokość spocznika</v>
      </c>
      <c r="C55" s="457" t="s">
        <v>75</v>
      </c>
      <c r="D55" s="457" t="s">
        <v>714</v>
      </c>
      <c r="E55" s="445" t="s">
        <v>612</v>
      </c>
      <c r="F55" s="941" t="s">
        <v>833</v>
      </c>
    </row>
    <row r="56" spans="1:9" x14ac:dyDescent="0.25">
      <c r="A56" s="993"/>
      <c r="B56" s="950" t="str">
        <f>INDEX(C56:I56,1,MATCH(PRZEGLAD!$D$7,$C$1:$I$1))</f>
        <v>Wariant położenia Tronsole</v>
      </c>
      <c r="C56" s="457" t="s">
        <v>76</v>
      </c>
      <c r="D56" s="457" t="s">
        <v>715</v>
      </c>
      <c r="E56" s="445" t="s">
        <v>613</v>
      </c>
      <c r="F56" s="941" t="s">
        <v>834</v>
      </c>
    </row>
    <row r="57" spans="1:9" x14ac:dyDescent="0.25">
      <c r="A57" s="993"/>
      <c r="B57" s="950" t="str">
        <f>INDEX(C57:I57,1,MATCH(PRZEGLAD!$D$7,$C$1:$I$1))</f>
        <v>prostopadle do biegu</v>
      </c>
      <c r="C57" s="457" t="s">
        <v>566</v>
      </c>
      <c r="D57" s="457" t="s">
        <v>716</v>
      </c>
      <c r="E57" s="445" t="s">
        <v>614</v>
      </c>
      <c r="F57" s="941" t="s">
        <v>835</v>
      </c>
    </row>
    <row r="58" spans="1:9" x14ac:dyDescent="0.25">
      <c r="A58" s="993"/>
      <c r="B58" s="950" t="str">
        <f>INDEX(C58:I58,1,MATCH(PRZEGLAD!$D$7,$C$1:$I$1))</f>
        <v>równolegle do biegu</v>
      </c>
      <c r="C58" s="457" t="s">
        <v>567</v>
      </c>
      <c r="D58" s="457" t="s">
        <v>717</v>
      </c>
      <c r="E58" s="445" t="s">
        <v>615</v>
      </c>
      <c r="F58" s="941" t="s">
        <v>836</v>
      </c>
    </row>
    <row r="59" spans="1:9" x14ac:dyDescent="0.25">
      <c r="A59" s="993"/>
      <c r="B59" s="950" t="str">
        <f>INDEX(C59:I59,1,MATCH(PRZEGLAD!$D$7,$C$1:$I$1))</f>
        <v>wzdłuż biegu</v>
      </c>
      <c r="C59" s="457" t="s">
        <v>568</v>
      </c>
      <c r="D59" s="457" t="s">
        <v>718</v>
      </c>
      <c r="E59" s="445" t="s">
        <v>616</v>
      </c>
      <c r="F59" s="941" t="s">
        <v>837</v>
      </c>
    </row>
    <row r="60" spans="1:9" x14ac:dyDescent="0.25">
      <c r="A60" s="993"/>
      <c r="B60" s="950" t="str">
        <f>INDEX(C60:I60,1,MATCH(PRZEGLAD!$D$7,$C$1:$I$1))</f>
        <v>prostopadle do biegu</v>
      </c>
      <c r="C60" s="457" t="s">
        <v>569</v>
      </c>
      <c r="D60" s="457" t="s">
        <v>719</v>
      </c>
      <c r="E60" s="445" t="s">
        <v>614</v>
      </c>
      <c r="F60" s="941" t="s">
        <v>838</v>
      </c>
    </row>
    <row r="61" spans="1:9" x14ac:dyDescent="0.25">
      <c r="A61" s="993"/>
      <c r="B61" s="950" t="str">
        <f>INDEX(C61:I61,1,MATCH(PRZEGLAD!$D$7,$C$1:$I$1))</f>
        <v>z boku</v>
      </c>
      <c r="C61" s="457" t="s">
        <v>77</v>
      </c>
      <c r="D61" s="457" t="s">
        <v>720</v>
      </c>
      <c r="E61" s="445" t="s">
        <v>617</v>
      </c>
      <c r="F61" s="941" t="s">
        <v>839</v>
      </c>
    </row>
    <row r="62" spans="1:9" x14ac:dyDescent="0.25">
      <c r="A62" s="993"/>
      <c r="B62" s="950" t="str">
        <f>INDEX(C62:I62,1,MATCH(PRZEGLAD!$D$7,$C$1:$I$1))</f>
        <v>z tyłu</v>
      </c>
      <c r="C62" s="457" t="s">
        <v>78</v>
      </c>
      <c r="D62" s="457" t="s">
        <v>721</v>
      </c>
      <c r="E62" s="445" t="s">
        <v>618</v>
      </c>
      <c r="F62" s="941" t="s">
        <v>840</v>
      </c>
    </row>
    <row r="63" spans="1:9" x14ac:dyDescent="0.25">
      <c r="A63" s="993"/>
      <c r="B63" s="950" t="str">
        <f>INDEX(C63:I63,1,MATCH(PRZEGLAD!$D$7,$C$1:$I$1))</f>
        <v>Krawędź z przodu</v>
      </c>
      <c r="C63" s="457" t="s">
        <v>79</v>
      </c>
      <c r="D63" s="457" t="s">
        <v>722</v>
      </c>
      <c r="E63" s="445" t="s">
        <v>619</v>
      </c>
      <c r="F63" s="941" t="s">
        <v>841</v>
      </c>
    </row>
    <row r="64" spans="1:9" x14ac:dyDescent="0.25">
      <c r="A64" s="993"/>
      <c r="B64" s="950" t="str">
        <f>INDEX(C64:I64,1,MATCH(PRZEGLAD!$D$7,$C$1:$I$1))</f>
        <v>Krawędź z tyłu</v>
      </c>
      <c r="C64" s="457" t="s">
        <v>80</v>
      </c>
      <c r="D64" s="457" t="s">
        <v>723</v>
      </c>
      <c r="E64" s="445" t="s">
        <v>620</v>
      </c>
      <c r="F64" s="941" t="s">
        <v>842</v>
      </c>
    </row>
    <row r="65" spans="1:9" x14ac:dyDescent="0.25">
      <c r="A65" s="993"/>
      <c r="B65" s="950" t="str">
        <f>INDEX(C65:I65,1,MATCH(PRZEGLAD!$D$7,$C$1:$I$1))</f>
        <v>Grubość spocznika</v>
      </c>
      <c r="C65" s="457" t="s">
        <v>81</v>
      </c>
      <c r="D65" s="457" t="s">
        <v>724</v>
      </c>
      <c r="E65" s="445" t="s">
        <v>621</v>
      </c>
      <c r="F65" s="941" t="s">
        <v>843</v>
      </c>
    </row>
    <row r="66" spans="1:9" x14ac:dyDescent="0.25">
      <c r="A66" s="993"/>
      <c r="B66" s="950" t="str">
        <f>INDEX(C66:I66,1,MATCH(PRZEGLAD!$D$7,$C$1:$I$1))</f>
        <v>Szerokość dylatacji</v>
      </c>
      <c r="C66" s="457" t="s">
        <v>82</v>
      </c>
      <c r="D66" s="457" t="s">
        <v>725</v>
      </c>
      <c r="E66" s="445" t="s">
        <v>622</v>
      </c>
      <c r="F66" s="941" t="s">
        <v>844</v>
      </c>
    </row>
    <row r="67" spans="1:9" x14ac:dyDescent="0.25">
      <c r="A67" s="993"/>
      <c r="B67" s="950" t="str">
        <f>INDEX(C67:I67,1,MATCH(PRZEGLAD!$D$7,$C$1:$I$1))</f>
        <v>Przejmij obciążenia z obliczeń biegu</v>
      </c>
      <c r="C67" s="457" t="s">
        <v>83</v>
      </c>
      <c r="D67" s="457" t="s">
        <v>726</v>
      </c>
      <c r="E67" s="445" t="s">
        <v>917</v>
      </c>
      <c r="F67" s="941" t="s">
        <v>845</v>
      </c>
    </row>
    <row r="68" spans="1:9" ht="18" x14ac:dyDescent="0.35">
      <c r="A68" s="993"/>
      <c r="B68" s="950" t="str">
        <f>INDEX(C68:I68,1,MATCH(PRZEGLAD!$D$7,$C$1:$I$1))</f>
        <v>Obc. Maks. biegu  [Ved]</v>
      </c>
      <c r="C68" s="457" t="s">
        <v>84</v>
      </c>
      <c r="D68" s="457" t="s">
        <v>727</v>
      </c>
      <c r="E68" s="445" t="s">
        <v>928</v>
      </c>
      <c r="F68" s="941" t="s">
        <v>846</v>
      </c>
    </row>
    <row r="69" spans="1:9" ht="18" x14ac:dyDescent="0.35">
      <c r="A69" s="993"/>
      <c r="B69" s="950" t="str">
        <f>INDEX(C69:I69,1,MATCH(PRZEGLAD!$D$7,$C$1:$I$1))</f>
        <v>Obc. stałe biegu  [Gk]</v>
      </c>
      <c r="C69" s="457" t="s">
        <v>85</v>
      </c>
      <c r="D69" s="457" t="s">
        <v>728</v>
      </c>
      <c r="E69" s="445" t="s">
        <v>918</v>
      </c>
      <c r="F69" s="941" t="s">
        <v>847</v>
      </c>
    </row>
    <row r="70" spans="1:9" x14ac:dyDescent="0.25">
      <c r="A70" s="993"/>
      <c r="B70" s="950" t="str">
        <f>INDEX(C70:I70,1,MATCH(PRZEGLAD!$D$7,$C$1:$I$1))</f>
        <v>Podparcie spocznika</v>
      </c>
      <c r="C70" s="457" t="s">
        <v>86</v>
      </c>
      <c r="D70" s="457" t="s">
        <v>729</v>
      </c>
      <c r="E70" s="445" t="s">
        <v>623</v>
      </c>
      <c r="F70" s="941" t="s">
        <v>848</v>
      </c>
    </row>
    <row r="71" spans="1:9" ht="30" x14ac:dyDescent="0.25">
      <c r="A71" s="993"/>
      <c r="B71" s="950" t="str">
        <f>INDEX(C71:I71,1,MATCH(PRZEGLAD!$D$7,$C$1:$I$1))</f>
        <v>Połączenie bieg - spocznik (patrz "Bieg schodowy")</v>
      </c>
      <c r="C71" s="457" t="s">
        <v>87</v>
      </c>
      <c r="D71" s="457" t="s">
        <v>730</v>
      </c>
      <c r="E71" s="445" t="s">
        <v>919</v>
      </c>
      <c r="F71" s="941" t="s">
        <v>849</v>
      </c>
    </row>
    <row r="72" spans="1:9" x14ac:dyDescent="0.25">
      <c r="A72" s="993"/>
      <c r="B72" s="950" t="str">
        <f>INDEX(C72:I72,1,MATCH(PRZEGLAD!$D$7,$C$1:$I$1))</f>
        <v>Dł. konsoli</v>
      </c>
      <c r="C72" s="457" t="s">
        <v>88</v>
      </c>
      <c r="D72" s="457" t="s">
        <v>731</v>
      </c>
      <c r="E72" s="445" t="s">
        <v>1010</v>
      </c>
      <c r="F72" s="941" t="s">
        <v>850</v>
      </c>
    </row>
    <row r="73" spans="1:9" x14ac:dyDescent="0.25">
      <c r="A73" s="993"/>
      <c r="B73" s="950" t="str">
        <f>INDEX(C73:I73,1,MATCH(PRZEGLAD!$D$7,$C$1:$I$1))</f>
        <v>Szer. biegu</v>
      </c>
      <c r="C73" s="457" t="s">
        <v>52</v>
      </c>
      <c r="D73" s="457" t="s">
        <v>690</v>
      </c>
      <c r="E73" s="445" t="s">
        <v>1011</v>
      </c>
      <c r="F73" s="941" t="s">
        <v>809</v>
      </c>
    </row>
    <row r="74" spans="1:9" x14ac:dyDescent="0.25">
      <c r="A74" s="993"/>
      <c r="B74" s="950" t="str">
        <f>INDEX(C74:I74,1,MATCH(PRZEGLAD!$D$7,$C$1:$I$1))</f>
        <v>Wysunięcie spocznika</v>
      </c>
      <c r="C74" s="457" t="s">
        <v>89</v>
      </c>
      <c r="D74" s="457" t="s">
        <v>732</v>
      </c>
      <c r="E74" s="445" t="s">
        <v>929</v>
      </c>
      <c r="F74" s="941" t="s">
        <v>851</v>
      </c>
    </row>
    <row r="75" spans="1:9" ht="15.75" thickBot="1" x14ac:dyDescent="0.3">
      <c r="A75" s="994"/>
      <c r="B75" s="950" t="str">
        <f>INDEX(C75:I75,1,MATCH(PRZEGLAD!$D$7,$C$1:$I$1))</f>
        <v>Wys. konsoli</v>
      </c>
      <c r="C75" s="457" t="s">
        <v>90</v>
      </c>
      <c r="D75" s="457" t="s">
        <v>733</v>
      </c>
      <c r="E75" s="445" t="s">
        <v>1012</v>
      </c>
      <c r="F75" s="941" t="s">
        <v>852</v>
      </c>
    </row>
    <row r="76" spans="1:9" x14ac:dyDescent="0.25">
      <c r="A76" s="995" t="s">
        <v>91</v>
      </c>
      <c r="B76" s="949" t="str">
        <f>INDEX(C76:I76,1,MATCH(PRZEGLAD!$D$7,$C$1:$I$1))</f>
        <v>Reakcje podporowe</v>
      </c>
      <c r="C76" s="456" t="s">
        <v>92</v>
      </c>
      <c r="D76" s="456" t="s">
        <v>734</v>
      </c>
      <c r="E76" s="444" t="s">
        <v>624</v>
      </c>
      <c r="F76" s="944" t="s">
        <v>853</v>
      </c>
      <c r="G76" s="444"/>
      <c r="H76" s="444"/>
      <c r="I76" s="444"/>
    </row>
    <row r="77" spans="1:9" x14ac:dyDescent="0.25">
      <c r="A77" s="997"/>
      <c r="B77" s="950" t="str">
        <f>INDEX(C77:I77,1,MATCH(PRZEGLAD!$D$7,$C$1:$I$1))</f>
        <v>Obciążenie całkowite</v>
      </c>
      <c r="C77" s="457" t="s">
        <v>63</v>
      </c>
      <c r="D77" s="457" t="s">
        <v>701</v>
      </c>
      <c r="E77" s="445" t="s">
        <v>606</v>
      </c>
      <c r="F77" s="941" t="s">
        <v>820</v>
      </c>
    </row>
    <row r="78" spans="1:9" x14ac:dyDescent="0.25">
      <c r="A78" s="997"/>
      <c r="B78" s="950" t="str">
        <f>INDEX(C78:I78,1,MATCH(PRZEGLAD!$D$7,$C$1:$I$1))</f>
        <v>Reakcja na podporze, dół</v>
      </c>
      <c r="C78" s="457" t="s">
        <v>93</v>
      </c>
      <c r="D78" s="457" t="s">
        <v>735</v>
      </c>
      <c r="E78" s="445" t="s">
        <v>625</v>
      </c>
      <c r="F78" s="941" t="s">
        <v>854</v>
      </c>
    </row>
    <row r="79" spans="1:9" x14ac:dyDescent="0.25">
      <c r="A79" s="997"/>
      <c r="B79" s="950" t="str">
        <f>INDEX(C79:I79,1,MATCH(PRZEGLAD!$D$7,$C$1:$I$1))</f>
        <v>Reakcja na podporze, góra</v>
      </c>
      <c r="C79" s="457" t="s">
        <v>94</v>
      </c>
      <c r="D79" s="457" t="s">
        <v>736</v>
      </c>
      <c r="E79" s="445" t="s">
        <v>920</v>
      </c>
      <c r="F79" s="941" t="s">
        <v>855</v>
      </c>
    </row>
    <row r="80" spans="1:9" ht="30" x14ac:dyDescent="0.25">
      <c r="A80" s="997"/>
      <c r="B80" s="950" t="str">
        <f>INDEX(C80:I80,1,MATCH(PRZEGLAD!$D$7,$C$1:$I$1))</f>
        <v>Min. wysokość konsoli na dole</v>
      </c>
      <c r="C80" s="457" t="s">
        <v>95</v>
      </c>
      <c r="D80" s="457" t="s">
        <v>737</v>
      </c>
      <c r="E80" s="445" t="s">
        <v>626</v>
      </c>
      <c r="F80" s="941" t="s">
        <v>856</v>
      </c>
    </row>
    <row r="81" spans="1:9" ht="30" x14ac:dyDescent="0.25">
      <c r="A81" s="997"/>
      <c r="B81" s="950" t="str">
        <f>INDEX(C81:I81,1,MATCH(PRZEGLAD!$D$7,$C$1:$I$1))</f>
        <v>Min. wysokość konsoli na górze</v>
      </c>
      <c r="C81" s="457" t="s">
        <v>96</v>
      </c>
      <c r="D81" s="457" t="s">
        <v>738</v>
      </c>
      <c r="E81" s="445" t="s">
        <v>627</v>
      </c>
      <c r="F81" s="941" t="s">
        <v>857</v>
      </c>
    </row>
    <row r="82" spans="1:9" x14ac:dyDescent="0.25">
      <c r="A82" s="997"/>
      <c r="B82" s="950" t="str">
        <f>INDEX(C82:I82,1,MATCH(PRZEGLAD!$D$7,$C$1:$I$1))</f>
        <v>Podsumowanie</v>
      </c>
      <c r="C82" s="457" t="s">
        <v>97</v>
      </c>
      <c r="D82" s="457" t="s">
        <v>739</v>
      </c>
      <c r="E82" s="445" t="s">
        <v>628</v>
      </c>
      <c r="F82" s="941" t="s">
        <v>858</v>
      </c>
    </row>
    <row r="83" spans="1:9" x14ac:dyDescent="0.25">
      <c r="A83" s="997"/>
      <c r="B83" s="950" t="str">
        <f>INDEX(C83:I83,1,MATCH(PRZEGLAD!$D$7,$C$1:$I$1))</f>
        <v>Podparcie na dole</v>
      </c>
      <c r="C83" s="457" t="s">
        <v>65</v>
      </c>
      <c r="D83" s="457" t="s">
        <v>705</v>
      </c>
      <c r="E83" s="445" t="s">
        <v>609</v>
      </c>
      <c r="F83" s="941" t="s">
        <v>824</v>
      </c>
    </row>
    <row r="84" spans="1:9" x14ac:dyDescent="0.25">
      <c r="A84" s="997"/>
      <c r="B84" s="950" t="str">
        <f>INDEX(C84:I84,1,MATCH(PRZEGLAD!$D$7,$C$1:$I$1))</f>
        <v>Podparcie na górze</v>
      </c>
      <c r="C84" s="457" t="s">
        <v>69</v>
      </c>
      <c r="D84" s="457" t="s">
        <v>709</v>
      </c>
      <c r="E84" s="445" t="s">
        <v>610</v>
      </c>
      <c r="F84" s="941" t="s">
        <v>828</v>
      </c>
    </row>
    <row r="85" spans="1:9" x14ac:dyDescent="0.25">
      <c r="A85" s="997"/>
      <c r="B85" s="950" t="str">
        <f>INDEX(C85:I85,1,MATCH(PRZEGLAD!$D$7,$C$1:$I$1))</f>
        <v>Dylatacja boczna biegu</v>
      </c>
      <c r="C85" s="457" t="s">
        <v>98</v>
      </c>
      <c r="D85" s="457" t="s">
        <v>740</v>
      </c>
      <c r="E85" s="445" t="s">
        <v>629</v>
      </c>
      <c r="F85" s="941" t="s">
        <v>859</v>
      </c>
    </row>
    <row r="86" spans="1:9" x14ac:dyDescent="0.25">
      <c r="A86" s="997"/>
      <c r="B86" s="950" t="str">
        <f>INDEX(C86:I86,1,MATCH(PRZEGLAD!$D$7,$C$1:$I$1))</f>
        <v>Dylatacja boczna spocznika</v>
      </c>
      <c r="C86" s="457" t="s">
        <v>99</v>
      </c>
      <c r="D86" s="457" t="s">
        <v>741</v>
      </c>
      <c r="E86" s="445" t="s">
        <v>630</v>
      </c>
      <c r="F86" s="941" t="s">
        <v>860</v>
      </c>
    </row>
    <row r="87" spans="1:9" x14ac:dyDescent="0.25">
      <c r="A87" s="997"/>
      <c r="B87" s="950" t="str">
        <f>INDEX(C87:I87,1,MATCH(PRZEGLAD!$D$7,$C$1:$I$1))</f>
        <v>Tronsole typu:</v>
      </c>
      <c r="C87" s="457" t="s">
        <v>100</v>
      </c>
      <c r="D87" s="457" t="s">
        <v>742</v>
      </c>
      <c r="E87" s="445" t="s">
        <v>631</v>
      </c>
      <c r="F87" s="941" t="s">
        <v>861</v>
      </c>
    </row>
    <row r="88" spans="1:9" ht="15.75" thickBot="1" x14ac:dyDescent="0.3">
      <c r="A88" s="996"/>
      <c r="B88" s="951" t="str">
        <f>INDEX(C88:I88,1,MATCH(PRZEGLAD!$D$7,$C$1:$I$1))</f>
        <v>Konsola na biegu:</v>
      </c>
      <c r="C88" s="458" t="s">
        <v>101</v>
      </c>
      <c r="D88" s="458" t="s">
        <v>743</v>
      </c>
      <c r="E88" s="446" t="s">
        <v>632</v>
      </c>
      <c r="F88" s="942" t="s">
        <v>862</v>
      </c>
      <c r="G88" s="446"/>
      <c r="H88" s="446"/>
      <c r="I88" s="446"/>
    </row>
    <row r="89" spans="1:9" x14ac:dyDescent="0.25">
      <c r="A89" s="995" t="s">
        <v>102</v>
      </c>
      <c r="B89" s="949" t="str">
        <f>INDEX(C89:I89,1,MATCH(PRZEGLAD!$D$7,$C$1:$I$1))</f>
        <v>Reakcje podporowe</v>
      </c>
      <c r="C89" s="456" t="s">
        <v>92</v>
      </c>
      <c r="D89" s="456" t="s">
        <v>734</v>
      </c>
      <c r="E89" s="444" t="s">
        <v>624</v>
      </c>
      <c r="F89" s="944" t="s">
        <v>853</v>
      </c>
      <c r="G89" s="444"/>
      <c r="H89" s="444"/>
      <c r="I89" s="444"/>
    </row>
    <row r="90" spans="1:9" x14ac:dyDescent="0.25">
      <c r="A90" s="997"/>
      <c r="B90" s="950" t="str">
        <f>INDEX(C90:I90,1,MATCH(PRZEGLAD!$D$7,$C$1:$I$1))</f>
        <v>Obciążenie całkowite</v>
      </c>
      <c r="C90" s="457" t="s">
        <v>63</v>
      </c>
      <c r="D90" s="457" t="s">
        <v>701</v>
      </c>
      <c r="E90" s="445" t="s">
        <v>606</v>
      </c>
      <c r="F90" s="941" t="s">
        <v>820</v>
      </c>
    </row>
    <row r="91" spans="1:9" x14ac:dyDescent="0.25">
      <c r="A91" s="997"/>
      <c r="B91" s="950" t="str">
        <f>INDEX(C91:I91,1,MATCH(PRZEGLAD!$D$7,$C$1:$I$1))</f>
        <v>Obciążenia stałe</v>
      </c>
      <c r="C91" s="457" t="s">
        <v>103</v>
      </c>
      <c r="D91" s="457" t="s">
        <v>744</v>
      </c>
      <c r="E91" s="445" t="s">
        <v>633</v>
      </c>
      <c r="F91" s="941" t="s">
        <v>863</v>
      </c>
    </row>
    <row r="92" spans="1:9" x14ac:dyDescent="0.25">
      <c r="A92" s="997"/>
      <c r="B92" s="950" t="str">
        <f>INDEX(C92:I92,1,MATCH(PRZEGLAD!$D$7,$C$1:$I$1))</f>
        <v>Obciążenia zmienne</v>
      </c>
      <c r="C92" s="457" t="s">
        <v>104</v>
      </c>
      <c r="D92" s="457" t="s">
        <v>745</v>
      </c>
      <c r="E92" s="445" t="s">
        <v>634</v>
      </c>
      <c r="F92" s="941" t="s">
        <v>864</v>
      </c>
    </row>
    <row r="93" spans="1:9" x14ac:dyDescent="0.25">
      <c r="A93" s="997"/>
      <c r="B93" s="950" t="str">
        <f>INDEX(C93:I93,1,MATCH(PRZEGLAD!$D$7,$C$1:$I$1))</f>
        <v>Reakcja na podporze - bieg</v>
      </c>
      <c r="C93" s="457" t="s">
        <v>105</v>
      </c>
      <c r="D93" s="457" t="s">
        <v>746</v>
      </c>
      <c r="E93" s="445" t="s">
        <v>921</v>
      </c>
      <c r="F93" s="941" t="s">
        <v>865</v>
      </c>
    </row>
    <row r="94" spans="1:9" x14ac:dyDescent="0.25">
      <c r="A94" s="997"/>
      <c r="B94" s="950" t="str">
        <f>INDEX(C94:I94,1,MATCH(PRZEGLAD!$D$7,$C$1:$I$1))</f>
        <v>Reakcja na podporze z tyłu</v>
      </c>
      <c r="C94" s="457" t="s">
        <v>106</v>
      </c>
      <c r="D94" s="457" t="s">
        <v>747</v>
      </c>
      <c r="E94" s="445" t="s">
        <v>635</v>
      </c>
      <c r="F94" s="941" t="s">
        <v>866</v>
      </c>
    </row>
    <row r="95" spans="1:9" x14ac:dyDescent="0.25">
      <c r="A95" s="997"/>
      <c r="B95" s="950" t="str">
        <f>INDEX(C95:I95,1,MATCH(PRZEGLAD!$D$7,$C$1:$I$1))</f>
        <v>(łącznie z obciążeniem z biegu schodowego)</v>
      </c>
      <c r="C95" s="457" t="s">
        <v>107</v>
      </c>
      <c r="D95" s="457" t="s">
        <v>748</v>
      </c>
      <c r="E95" s="445" t="s">
        <v>636</v>
      </c>
      <c r="F95" s="941" t="s">
        <v>867</v>
      </c>
    </row>
    <row r="96" spans="1:9" x14ac:dyDescent="0.25">
      <c r="A96" s="997"/>
      <c r="B96" s="950" t="str">
        <f>INDEX(C96:I96,1,MATCH(PRZEGLAD!$D$7,$C$1:$I$1))</f>
        <v>(przy wartościach ujemnych - siły odrywające)</v>
      </c>
      <c r="C96" s="457" t="s">
        <v>108</v>
      </c>
      <c r="D96" s="457" t="s">
        <v>749</v>
      </c>
      <c r="E96" s="445" t="s">
        <v>637</v>
      </c>
      <c r="F96" s="941" t="s">
        <v>868</v>
      </c>
    </row>
    <row r="97" spans="1:9" x14ac:dyDescent="0.25">
      <c r="A97" s="997"/>
      <c r="B97" s="950" t="str">
        <f>INDEX(C97:I97,1,MATCH(PRZEGLAD!$D$7,$C$1:$I$1))</f>
        <v>Podsumowanie</v>
      </c>
      <c r="C97" s="457" t="s">
        <v>97</v>
      </c>
      <c r="D97" s="457" t="s">
        <v>739</v>
      </c>
      <c r="E97" s="445" t="s">
        <v>628</v>
      </c>
      <c r="F97" s="941" t="s">
        <v>858</v>
      </c>
    </row>
    <row r="98" spans="1:9" x14ac:dyDescent="0.25">
      <c r="A98" s="997"/>
      <c r="B98" s="950" t="str">
        <f>INDEX(C98:I98,1,MATCH(PRZEGLAD!$D$7,$C$1:$I$1))</f>
        <v>Podparcie przy biegu</v>
      </c>
      <c r="C98" s="457" t="s">
        <v>109</v>
      </c>
      <c r="D98" s="457" t="s">
        <v>750</v>
      </c>
      <c r="E98" s="445" t="s">
        <v>638</v>
      </c>
      <c r="F98" s="941" t="s">
        <v>869</v>
      </c>
    </row>
    <row r="99" spans="1:9" x14ac:dyDescent="0.25">
      <c r="A99" s="997"/>
      <c r="B99" s="950" t="str">
        <f>INDEX(C99:I99,1,MATCH(PRZEGLAD!$D$7,$C$1:$I$1))</f>
        <v>Obciążenie zmienne, bieg</v>
      </c>
      <c r="C99" s="457" t="s">
        <v>110</v>
      </c>
      <c r="D99" s="457" t="s">
        <v>751</v>
      </c>
      <c r="E99" s="445" t="s">
        <v>639</v>
      </c>
      <c r="F99" s="941" t="s">
        <v>870</v>
      </c>
    </row>
    <row r="100" spans="1:9" x14ac:dyDescent="0.25">
      <c r="A100" s="997"/>
      <c r="B100" s="950" t="str">
        <f>INDEX(C100:I100,1,MATCH(PRZEGLAD!$D$7,$C$1:$I$1))</f>
        <v>Tronsole typu:</v>
      </c>
      <c r="C100" s="457" t="s">
        <v>100</v>
      </c>
      <c r="D100" s="457" t="s">
        <v>742</v>
      </c>
      <c r="E100" s="445" t="s">
        <v>631</v>
      </c>
      <c r="F100" s="941" t="s">
        <v>861</v>
      </c>
    </row>
    <row r="101" spans="1:9" x14ac:dyDescent="0.25">
      <c r="A101" s="997"/>
      <c r="B101" s="950" t="str">
        <f>INDEX(C101:I101,1,MATCH(PRZEGLAD!$D$7,$C$1:$I$1))</f>
        <v>Dylatacja boczna spocznika</v>
      </c>
      <c r="C101" s="457" t="s">
        <v>111</v>
      </c>
      <c r="D101" s="457" t="s">
        <v>741</v>
      </c>
      <c r="E101" s="445" t="s">
        <v>630</v>
      </c>
      <c r="F101" s="941" t="s">
        <v>871</v>
      </c>
    </row>
    <row r="102" spans="1:9" x14ac:dyDescent="0.25">
      <c r="A102" s="997"/>
      <c r="B102" s="950" t="str">
        <f>INDEX(C102:I102,1,MATCH(PRZEGLAD!$D$7,$C$1:$I$1))</f>
        <v>Podparcie z tyłu</v>
      </c>
      <c r="C102" s="457" t="s">
        <v>112</v>
      </c>
      <c r="D102" s="457" t="s">
        <v>752</v>
      </c>
      <c r="E102" s="445" t="s">
        <v>640</v>
      </c>
      <c r="F102" s="941" t="s">
        <v>872</v>
      </c>
    </row>
    <row r="103" spans="1:9" ht="15.75" thickBot="1" x14ac:dyDescent="0.3">
      <c r="A103" s="996"/>
      <c r="B103" s="951" t="str">
        <f>INDEX(C103:I103,1,MATCH(PRZEGLAD!$D$7,$C$1:$I$1))</f>
        <v>Tronsole</v>
      </c>
      <c r="C103" s="458" t="s">
        <v>113</v>
      </c>
      <c r="D103" s="458" t="s">
        <v>113</v>
      </c>
      <c r="E103" s="446" t="s">
        <v>113</v>
      </c>
      <c r="F103" s="942" t="s">
        <v>113</v>
      </c>
      <c r="G103" s="446"/>
      <c r="H103" s="446"/>
      <c r="I103" s="446"/>
    </row>
    <row r="104" spans="1:9" x14ac:dyDescent="0.25">
      <c r="A104" s="997" t="s">
        <v>114</v>
      </c>
      <c r="B104" s="950" t="str">
        <f>INDEX(C104:I104,1,MATCH(PRZEGLAD!$D$7,$C$1:$I$1))</f>
        <v>Obliczenia</v>
      </c>
      <c r="C104" s="457" t="s">
        <v>115</v>
      </c>
      <c r="D104" s="457" t="s">
        <v>753</v>
      </c>
      <c r="E104" s="445" t="s">
        <v>641</v>
      </c>
      <c r="F104" s="941" t="s">
        <v>873</v>
      </c>
    </row>
    <row r="105" spans="1:9" x14ac:dyDescent="0.25">
      <c r="A105" s="997"/>
      <c r="B105" s="950" t="str">
        <f>INDEX(C105:I105,1,MATCH(PRZEGLAD!$D$7,$C$1:$I$1))</f>
        <v>Obciążenia stałe</v>
      </c>
      <c r="C105" s="457" t="s">
        <v>116</v>
      </c>
      <c r="D105" s="457" t="s">
        <v>754</v>
      </c>
      <c r="E105" s="445" t="s">
        <v>633</v>
      </c>
      <c r="F105" s="941" t="s">
        <v>874</v>
      </c>
    </row>
    <row r="106" spans="1:9" ht="30" x14ac:dyDescent="0.25">
      <c r="A106" s="997"/>
      <c r="B106" s="950" t="str">
        <f>INDEX(C106:I106,1,MATCH(PRZEGLAD!$D$7,$C$1:$I$1))</f>
        <v>Obiciążenia całkowite (stałe + zmienne)</v>
      </c>
      <c r="C106" s="457" t="s">
        <v>117</v>
      </c>
      <c r="D106" s="457" t="s">
        <v>755</v>
      </c>
      <c r="E106" s="457" t="s">
        <v>642</v>
      </c>
      <c r="F106" s="941" t="s">
        <v>875</v>
      </c>
    </row>
    <row r="107" spans="1:9" ht="60" x14ac:dyDescent="0.25">
      <c r="A107" s="997"/>
      <c r="B107" s="952" t="str">
        <f>INDEX(C107:I107,1,MATCH(PRZEGLAD!$D$7,$C$1:$I$1))</f>
        <v>Dalsze informacje i wskazówki w informacji technicznej Schöck Tronsole® dostępnej na stronie: https://www.schoeck.com/</v>
      </c>
      <c r="C107" s="457" t="s">
        <v>118</v>
      </c>
      <c r="D107" s="457" t="s">
        <v>756</v>
      </c>
      <c r="E107" s="946" t="s">
        <v>643</v>
      </c>
      <c r="F107" s="941" t="s">
        <v>876</v>
      </c>
    </row>
    <row r="108" spans="1:9" ht="75" x14ac:dyDescent="0.25">
      <c r="A108" s="997"/>
      <c r="B108" s="952" t="str">
        <f>INDEX(C108:I108,1,MATCH(PRZEGLAD!$D$7,$C$1:$I$1))</f>
        <v xml:space="preserve">Wyniki obliczeń dotyczą jedynie doboru produktów Schöck Tronsole®. Schematy podparcia i szczegóły zbrojenia powinny być przeanalizowane przez Projektanta. </v>
      </c>
      <c r="C108" s="457" t="s">
        <v>119</v>
      </c>
      <c r="D108" s="457" t="s">
        <v>757</v>
      </c>
      <c r="E108" s="946" t="s">
        <v>644</v>
      </c>
      <c r="F108" s="941" t="s">
        <v>877</v>
      </c>
    </row>
    <row r="109" spans="1:9" ht="75" x14ac:dyDescent="0.25">
      <c r="A109" s="997"/>
      <c r="B109" s="952" t="str">
        <f>INDEX(C109:I109,1,MATCH(PRZEGLAD!$D$7,$C$1:$I$1))</f>
        <v>-</v>
      </c>
      <c r="C109" s="457" t="s">
        <v>120</v>
      </c>
      <c r="D109" s="457" t="s">
        <v>758</v>
      </c>
      <c r="E109" s="946" t="s">
        <v>645</v>
      </c>
      <c r="F109" s="941" t="s">
        <v>878</v>
      </c>
    </row>
    <row r="110" spans="1:9" x14ac:dyDescent="0.25">
      <c r="A110" s="997"/>
      <c r="B110" s="952" t="str">
        <f>INDEX(C110:I110,1,MATCH(PRZEGLAD!$D$7,$C$1:$I$1))</f>
        <v>Wskazówki:</v>
      </c>
      <c r="C110" s="457" t="s">
        <v>121</v>
      </c>
      <c r="D110" s="457" t="s">
        <v>759</v>
      </c>
      <c r="E110" s="946" t="s">
        <v>646</v>
      </c>
      <c r="F110" s="941" t="s">
        <v>879</v>
      </c>
    </row>
    <row r="111" spans="1:9" x14ac:dyDescent="0.25">
      <c r="A111" s="997"/>
      <c r="B111" s="952" t="str">
        <f>INDEX(C111:I111,1,MATCH(PRZEGLAD!$D$7,$C$1:$I$1))</f>
        <v>Podstawy obliczeń:</v>
      </c>
      <c r="C111" s="457" t="s">
        <v>122</v>
      </c>
      <c r="D111" s="457" t="s">
        <v>760</v>
      </c>
      <c r="E111" s="946" t="s">
        <v>647</v>
      </c>
      <c r="F111" s="941" t="s">
        <v>880</v>
      </c>
    </row>
    <row r="112" spans="1:9" x14ac:dyDescent="0.25">
      <c r="A112" s="997"/>
      <c r="B112" s="952" t="str">
        <f>INDEX(C112:I112,1,MATCH(PRZEGLAD!$D$7,$C$1:$I$1))</f>
        <v>Fizyka budowli</v>
      </c>
      <c r="C112" s="457" t="s">
        <v>123</v>
      </c>
      <c r="D112" s="457" t="s">
        <v>761</v>
      </c>
      <c r="E112" s="946" t="s">
        <v>648</v>
      </c>
      <c r="F112" s="941" t="s">
        <v>881</v>
      </c>
    </row>
    <row r="113" spans="1:6" ht="30" x14ac:dyDescent="0.25">
      <c r="A113" s="997"/>
      <c r="B113" s="952" t="str">
        <f>INDEX(C113:I113,1,MATCH(PRZEGLAD!$D$7,$C$1:$I$1))</f>
        <v>Ważony wskaźnik zmniejszenia poziomu uderzeniowego ΔLw</v>
      </c>
      <c r="C113" s="457" t="s">
        <v>124</v>
      </c>
      <c r="D113" s="457" t="s">
        <v>762</v>
      </c>
      <c r="E113" s="946" t="s">
        <v>649</v>
      </c>
      <c r="F113" s="941" t="s">
        <v>882</v>
      </c>
    </row>
    <row r="114" spans="1:6" ht="75" x14ac:dyDescent="0.25">
      <c r="A114" s="997"/>
      <c r="B114" s="952" t="str">
        <f>INDEX(C114:I114,1,MATCH(PRZEGLAD!$D$7,$C$1:$I$1))</f>
        <v>Oddzielenie akustyczne biegów schodowych/spocznika od ściany klatki schodowej realizowane jest poprzez zastosowanie Schöck Tronsole® typu L.</v>
      </c>
      <c r="C114" s="457" t="s">
        <v>125</v>
      </c>
      <c r="D114" s="457" t="s">
        <v>763</v>
      </c>
      <c r="E114" s="946" t="s">
        <v>650</v>
      </c>
      <c r="F114" s="941" t="s">
        <v>883</v>
      </c>
    </row>
    <row r="115" spans="1:6" x14ac:dyDescent="0.25">
      <c r="A115" s="997"/>
      <c r="B115" s="952" t="str">
        <f>INDEX(C115:I115,1,MATCH(PRZEGLAD!$D$7,$C$1:$I$1))</f>
        <v>Wprowadzone dane</v>
      </c>
      <c r="C115" s="457" t="s">
        <v>126</v>
      </c>
      <c r="D115" s="457" t="s">
        <v>764</v>
      </c>
      <c r="E115" s="946" t="s">
        <v>651</v>
      </c>
      <c r="F115" s="941" t="s">
        <v>884</v>
      </c>
    </row>
    <row r="116" spans="1:6" x14ac:dyDescent="0.25">
      <c r="A116" s="997"/>
      <c r="B116" s="952" t="str">
        <f>INDEX(C116:I116,1,MATCH(PRZEGLAD!$D$7,$C$1:$I$1))</f>
        <v>Wyniki</v>
      </c>
      <c r="C116" s="457" t="s">
        <v>127</v>
      </c>
      <c r="D116" s="457" t="s">
        <v>765</v>
      </c>
      <c r="E116" s="946" t="s">
        <v>652</v>
      </c>
      <c r="F116" s="941" t="s">
        <v>885</v>
      </c>
    </row>
    <row r="117" spans="1:6" x14ac:dyDescent="0.25">
      <c r="A117" s="997"/>
      <c r="B117" s="952" t="str">
        <f>INDEX(C117:I117,1,MATCH(PRZEGLAD!$D$7,$C$1:$I$1))</f>
        <v>Obciążenia zmienne</v>
      </c>
      <c r="C117" s="457" t="s">
        <v>128</v>
      </c>
      <c r="D117" s="457" t="s">
        <v>766</v>
      </c>
      <c r="E117" s="946" t="s">
        <v>634</v>
      </c>
      <c r="F117" s="941" t="s">
        <v>886</v>
      </c>
    </row>
    <row r="118" spans="1:6" x14ac:dyDescent="0.25">
      <c r="A118" s="997"/>
      <c r="B118" s="952" t="str">
        <f>INDEX(C118:I118,1,MATCH(PRZEGLAD!$D$7,$C$1:$I$1))</f>
        <v>Obciążenie zmienne na spoczniku</v>
      </c>
      <c r="C118" s="457" t="s">
        <v>129</v>
      </c>
      <c r="D118" s="457" t="s">
        <v>767</v>
      </c>
      <c r="E118" s="946" t="s">
        <v>653</v>
      </c>
      <c r="F118" s="941" t="s">
        <v>887</v>
      </c>
    </row>
    <row r="119" spans="1:6" x14ac:dyDescent="0.25">
      <c r="A119" s="997"/>
      <c r="B119" s="952" t="str">
        <f>INDEX(C119:I119,1,MATCH(PRZEGLAD!$D$7,$C$1:$I$1))</f>
        <v>Obciążenia całkowite (char.)</v>
      </c>
      <c r="C119" s="457" t="s">
        <v>130</v>
      </c>
      <c r="D119" s="457" t="s">
        <v>768</v>
      </c>
      <c r="E119" s="946" t="s">
        <v>654</v>
      </c>
      <c r="F119" s="941" t="s">
        <v>888</v>
      </c>
    </row>
    <row r="120" spans="1:6" x14ac:dyDescent="0.25">
      <c r="A120" s="997"/>
      <c r="B120" s="952" t="str">
        <f>INDEX(C120:I120,1,MATCH(PRZEGLAD!$D$7,$C$1:$I$1))</f>
        <v>Obciążenia całkowite (obl.)</v>
      </c>
      <c r="C120" s="457" t="s">
        <v>131</v>
      </c>
      <c r="D120" s="457" t="s">
        <v>769</v>
      </c>
      <c r="E120" s="946" t="s">
        <v>655</v>
      </c>
      <c r="F120" s="941" t="s">
        <v>889</v>
      </c>
    </row>
    <row r="121" spans="1:6" x14ac:dyDescent="0.25">
      <c r="A121" s="997"/>
      <c r="B121" s="952" t="str">
        <f>INDEX(C121:I121,1,MATCH(PRZEGLAD!$D$7,$C$1:$I$1))</f>
        <v>Obciążenia stałe</v>
      </c>
      <c r="C121" s="457" t="s">
        <v>132</v>
      </c>
      <c r="D121" s="457" t="s">
        <v>770</v>
      </c>
      <c r="E121" s="946" t="s">
        <v>633</v>
      </c>
      <c r="F121" s="941" t="s">
        <v>890</v>
      </c>
    </row>
    <row r="122" spans="1:6" x14ac:dyDescent="0.25">
      <c r="A122" s="997"/>
      <c r="B122" s="952" t="str">
        <f>INDEX(C122:I122,1,MATCH(PRZEGLAD!$D$7,$C$1:$I$1))</f>
        <v>Założone obciążenia</v>
      </c>
      <c r="C122" s="457" t="s">
        <v>133</v>
      </c>
      <c r="D122" s="457" t="s">
        <v>771</v>
      </c>
      <c r="E122" s="946" t="s">
        <v>656</v>
      </c>
      <c r="F122" s="941" t="s">
        <v>891</v>
      </c>
    </row>
    <row r="123" spans="1:6" ht="30" x14ac:dyDescent="0.25">
      <c r="A123" s="997"/>
      <c r="B123" s="952" t="str">
        <f>INDEX(C123:I123,1,MATCH(PRZEGLAD!$D$7,$C$1:$I$1))</f>
        <v>Obliczenia niemożliwe! Proszę sprawdzić poprawność wprowadzonych danych!</v>
      </c>
      <c r="C123" s="457" t="s">
        <v>134</v>
      </c>
      <c r="D123" s="457" t="s">
        <v>772</v>
      </c>
      <c r="E123" s="946" t="s">
        <v>657</v>
      </c>
      <c r="F123" s="941" t="s">
        <v>892</v>
      </c>
    </row>
    <row r="124" spans="1:6" x14ac:dyDescent="0.25">
      <c r="A124" s="997"/>
      <c r="B124" s="952" t="str">
        <f>INDEX(C124:I124,1,MATCH(PRZEGLAD!$D$7,$C$1:$I$1))</f>
        <v>Cieżar własny - bieg schodowy</v>
      </c>
      <c r="C124" s="457" t="s">
        <v>135</v>
      </c>
      <c r="D124" s="457" t="s">
        <v>773</v>
      </c>
      <c r="E124" s="946" t="s">
        <v>658</v>
      </c>
      <c r="F124" s="941" t="s">
        <v>893</v>
      </c>
    </row>
    <row r="125" spans="1:6" x14ac:dyDescent="0.25">
      <c r="A125" s="997"/>
      <c r="B125" s="952" t="str">
        <f>INDEX(C125:I125,1,MATCH(PRZEGLAD!$D$7,$C$1:$I$1))</f>
        <v>Obciążenie całkowite - bieg schodowy</v>
      </c>
      <c r="C125" s="457" t="s">
        <v>136</v>
      </c>
      <c r="D125" s="457" t="s">
        <v>774</v>
      </c>
      <c r="E125" s="946" t="s">
        <v>659</v>
      </c>
      <c r="F125" s="941" t="s">
        <v>894</v>
      </c>
    </row>
    <row r="126" spans="1:6" x14ac:dyDescent="0.25">
      <c r="A126" s="997"/>
      <c r="B126" s="952" t="str">
        <f>INDEX(C126:I126,1,MATCH(PRZEGLAD!$D$7,$C$1:$I$1))</f>
        <v>Obciążenie całkowite - spocznik</v>
      </c>
      <c r="C126" s="457" t="s">
        <v>137</v>
      </c>
      <c r="D126" s="457" t="s">
        <v>775</v>
      </c>
      <c r="E126" s="946" t="s">
        <v>660</v>
      </c>
      <c r="F126" s="941" t="s">
        <v>895</v>
      </c>
    </row>
    <row r="127" spans="1:6" x14ac:dyDescent="0.25">
      <c r="A127" s="997"/>
      <c r="B127" s="952" t="str">
        <f>INDEX(C127:I127,1,MATCH(PRZEGLAD!$D$7,$C$1:$I$1))</f>
        <v>Reakcje podporowe</v>
      </c>
      <c r="C127" s="457" t="s">
        <v>92</v>
      </c>
      <c r="D127" s="457" t="s">
        <v>734</v>
      </c>
      <c r="E127" s="946" t="s">
        <v>624</v>
      </c>
      <c r="F127" s="941" t="s">
        <v>853</v>
      </c>
    </row>
    <row r="128" spans="1:6" x14ac:dyDescent="0.25">
      <c r="A128" s="997"/>
      <c r="B128" s="952" t="str">
        <f>INDEX(C128:I128,1,MATCH(PRZEGLAD!$D$7,$C$1:$I$1))</f>
        <v>Podparcie na dole</v>
      </c>
      <c r="C128" s="457" t="s">
        <v>65</v>
      </c>
      <c r="D128" s="457" t="s">
        <v>705</v>
      </c>
      <c r="E128" s="946" t="s">
        <v>609</v>
      </c>
      <c r="F128" s="941" t="s">
        <v>824</v>
      </c>
    </row>
    <row r="129" spans="1:27" x14ac:dyDescent="0.25">
      <c r="A129" s="997"/>
      <c r="B129" s="952" t="str">
        <f>INDEX(C129:I129,1,MATCH(PRZEGLAD!$D$7,$C$1:$I$1))</f>
        <v>Podparcie na górze</v>
      </c>
      <c r="C129" s="457" t="s">
        <v>69</v>
      </c>
      <c r="D129" s="457" t="s">
        <v>709</v>
      </c>
      <c r="E129" s="946" t="s">
        <v>610</v>
      </c>
      <c r="F129" s="941" t="s">
        <v>828</v>
      </c>
    </row>
    <row r="130" spans="1:27" x14ac:dyDescent="0.25">
      <c r="A130" s="997"/>
      <c r="B130" s="952" t="str">
        <f>INDEX(C130:I130,1,MATCH(PRZEGLAD!$D$7,$C$1:$I$1))</f>
        <v>Tronsole typu:</v>
      </c>
      <c r="C130" s="457" t="s">
        <v>100</v>
      </c>
      <c r="D130" s="457" t="s">
        <v>742</v>
      </c>
      <c r="E130" s="946" t="s">
        <v>631</v>
      </c>
      <c r="F130" s="941" t="s">
        <v>861</v>
      </c>
    </row>
    <row r="131" spans="1:27" x14ac:dyDescent="0.25">
      <c r="A131" s="997"/>
      <c r="B131" s="952" t="str">
        <f>INDEX(C131:I131,1,MATCH(PRZEGLAD!$D$7,$C$1:$I$1))</f>
        <v>Podparcie przy biegu</v>
      </c>
      <c r="C131" s="457" t="s">
        <v>109</v>
      </c>
      <c r="D131" s="457" t="s">
        <v>750</v>
      </c>
      <c r="E131" s="946" t="s">
        <v>638</v>
      </c>
      <c r="F131" s="945" t="s">
        <v>869</v>
      </c>
    </row>
    <row r="132" spans="1:27" s="625" customFormat="1" ht="15.75" thickBot="1" x14ac:dyDescent="0.3">
      <c r="A132" s="997"/>
      <c r="B132" s="952" t="str">
        <f>INDEX(C132:I132,1,MATCH(PRZEGLAD!$D$7,$C$1:$I$1))</f>
        <v>Podparcie z tyłu</v>
      </c>
      <c r="C132" s="457" t="s">
        <v>112</v>
      </c>
      <c r="D132" s="457" t="s">
        <v>752</v>
      </c>
      <c r="E132" s="946" t="s">
        <v>640</v>
      </c>
      <c r="F132" s="941" t="s">
        <v>872</v>
      </c>
      <c r="G132" s="445"/>
      <c r="H132" s="445"/>
      <c r="I132" s="445"/>
      <c r="J132" s="896"/>
      <c r="K132" s="896"/>
      <c r="L132" s="896"/>
      <c r="M132" s="896"/>
      <c r="N132" s="896"/>
      <c r="O132" s="896"/>
      <c r="P132" s="896"/>
      <c r="Q132" s="896"/>
      <c r="R132" s="896"/>
      <c r="S132" s="896"/>
      <c r="T132" s="896"/>
      <c r="U132" s="896"/>
      <c r="V132" s="896"/>
      <c r="W132" s="896"/>
      <c r="X132" s="896"/>
      <c r="Y132" s="896"/>
      <c r="Z132" s="896"/>
      <c r="AA132" s="896"/>
    </row>
    <row r="133" spans="1:27" ht="30" x14ac:dyDescent="0.25">
      <c r="A133" s="872"/>
      <c r="B133" s="952" t="str">
        <f>INDEX(C133:I133,1,MATCH(PRZEGLAD!$D$7,$C$1:$I$1))</f>
        <v>Geometria, schemat statyczny i rozkład obciążeń</v>
      </c>
      <c r="C133" s="457" t="s">
        <v>138</v>
      </c>
      <c r="D133" s="457" t="s">
        <v>778</v>
      </c>
      <c r="E133" s="946" t="s">
        <v>661</v>
      </c>
      <c r="F133" s="941" t="s">
        <v>896</v>
      </c>
    </row>
    <row r="134" spans="1:27" ht="60.75" thickBot="1" x14ac:dyDescent="0.3">
      <c r="A134" s="872"/>
      <c r="B134" s="952" t="str">
        <f>INDEX(C134:I134,1,MATCH(PRZEGLAD!$D$7,$C$1:$I$1))</f>
        <v>Krajowa Ocena Techniczna ITB - KOT-2020_1348 - typy F,B,L,D    
Krajowa Ocena Techniczna ITB - KOT-2020_1349 - typy Q,P,T,Z,L</v>
      </c>
      <c r="C134" s="457" t="s">
        <v>139</v>
      </c>
      <c r="D134" s="457" t="s">
        <v>776</v>
      </c>
      <c r="E134" s="946" t="s">
        <v>969</v>
      </c>
      <c r="F134" s="941" t="s">
        <v>897</v>
      </c>
    </row>
    <row r="135" spans="1:27" x14ac:dyDescent="0.25">
      <c r="A135" s="995" t="s">
        <v>140</v>
      </c>
      <c r="B135" s="953" t="str">
        <f>INDEX(C135:I135,1,MATCH(PRZEGLAD!$D$7,$C$1:$I$1))</f>
        <v>Zapisy o odpowiedzialności za wykonane obliczenia</v>
      </c>
      <c r="C135" s="456" t="s">
        <v>140</v>
      </c>
      <c r="D135" s="456" t="s">
        <v>777</v>
      </c>
      <c r="E135" s="444" t="s">
        <v>1001</v>
      </c>
      <c r="F135" s="944"/>
      <c r="G135" s="444"/>
      <c r="H135" s="444"/>
      <c r="I135" s="444"/>
    </row>
    <row r="136" spans="1:27" ht="408.75" customHeight="1" thickBot="1" x14ac:dyDescent="0.3">
      <c r="A136" s="996"/>
      <c r="B136" s="954" t="str">
        <f>INDEX(C136:I136,1,MATCH(PRZEGLAD!$D$7,$C$1:$I$1))</f>
        <v xml:space="preserve">1. Narzędzie projektowe Excel służy do wstępnego projektowania połączeń schodów i podestów/spoczników (elementów systemu izolacji akustycznej od dźwięków uderzeniowych), ale nie zastępuje wymaganych przez przepisy prawa i normy budowlane obliczeń statyki tych elementów. Schöck udostępnia bezpłatnie narzędzie projektowe w takie postaci jakiej się znajduje wyłącznie, aby zapewnić użytkownikowi narzędzie uzupełniające. Firma Schöck nie ma możliwości sprawdzenia ani monitorowania prawidłowości korzystania z narzędzia przez użytkowników. Schöck udostępnia narzędzie, zastrzegając konieczność używania go przez użytkowników mających odpowiednio wysoki poziom wiedzy specjalistycznej z zakresu budownictwa, nie biorąc równocześnie odpowiedzialności za konsekwencje błędnych obliczeń przy użyciu narzędzia, w szczególności wynikających z błędów oprogramowania narzędzia. W przypadku pytań lub niejasności użytkownik ma obowiązek skontaktować się z firmą Schöck przed wykorzystaniem wyników wstępnych obliczeń na podstawie narzędzia. Schöck nie gwarantuje jak i nie ponosi odpowiedzialności za przydatności narzędzia projektowego i jakość oprogramowania dla indywidualnych celów użytkownika lub kompatybilności z jakimkolwiek innym oprogramowaniem lub sprzętem.
2. Wszelka odpowiedzialność Schöck, zarówno umowna jak i z tytułu rękojmi lub gwarancji związanej z narzędziem projektowym, w tym wynikami jego obliczenia jest wyłączona.  </v>
      </c>
      <c r="C136" s="458" t="s">
        <v>898</v>
      </c>
      <c r="D136" s="458" t="s">
        <v>899</v>
      </c>
      <c r="E136" s="458" t="s">
        <v>1000</v>
      </c>
      <c r="F136" s="942"/>
      <c r="G136" s="446"/>
      <c r="H136" s="446"/>
      <c r="I136" s="446"/>
    </row>
    <row r="137" spans="1:27" x14ac:dyDescent="0.25">
      <c r="A137" s="992" t="s">
        <v>909</v>
      </c>
      <c r="B137" s="953" t="str">
        <f>INDEX(C137:I137,1,MATCH(PRZEGLAD!$D$7,$C$1:$I$1))</f>
        <v>Błąd — specyfikacje nie zostały spełnione:</v>
      </c>
      <c r="C137" s="456" t="s">
        <v>900</v>
      </c>
      <c r="D137" s="456" t="s">
        <v>902</v>
      </c>
      <c r="E137" s="456" t="s">
        <v>905</v>
      </c>
      <c r="F137" s="947" t="s">
        <v>906</v>
      </c>
      <c r="G137" s="444"/>
      <c r="H137" s="444"/>
      <c r="I137" s="444"/>
    </row>
    <row r="138" spans="1:27" x14ac:dyDescent="0.25">
      <c r="A138" s="993"/>
      <c r="B138" s="952" t="str">
        <f>INDEX(C138:I138,1,MATCH(PRZEGLAD!$D$7,$C$1:$I$1))</f>
        <v>Wskazówka:</v>
      </c>
      <c r="C138" s="457" t="s">
        <v>901</v>
      </c>
      <c r="D138" s="457" t="s">
        <v>903</v>
      </c>
      <c r="E138" s="457" t="s">
        <v>922</v>
      </c>
      <c r="F138" s="945" t="s">
        <v>907</v>
      </c>
    </row>
    <row r="139" spans="1:27" ht="74.25" customHeight="1" thickBot="1" x14ac:dyDescent="0.3">
      <c r="A139" s="994"/>
      <c r="B139" s="954" t="str">
        <f>INDEX(C139:I139,1,MATCH(PRZEGLAD!$D$7,$C$1:$I$1))</f>
        <v>Dla wybranego górnego połączenia należy wziąć pod uwagę aktualne wymagania techniczne. Prosimy o kontakt z naszym działem technicznym.</v>
      </c>
      <c r="C139" s="458" t="s">
        <v>561</v>
      </c>
      <c r="D139" s="458" t="s">
        <v>904</v>
      </c>
      <c r="E139" s="458" t="s">
        <v>923</v>
      </c>
      <c r="F139" s="948" t="s">
        <v>908</v>
      </c>
      <c r="G139" s="446"/>
      <c r="H139" s="446"/>
      <c r="I139" s="446"/>
    </row>
    <row r="140" spans="1:27" x14ac:dyDescent="0.25">
      <c r="A140" s="989" t="s">
        <v>968</v>
      </c>
      <c r="B140" s="953" t="str">
        <f>INDEX(C140:I140,1,MATCH(PRZEGLAD!$D$7,$C$1:$I$1))</f>
        <v>[G{1,Spocznik}]</v>
      </c>
      <c r="C140" s="456" t="s">
        <v>932</v>
      </c>
      <c r="D140" s="456" t="s">
        <v>933</v>
      </c>
      <c r="E140" s="456" t="s">
        <v>956</v>
      </c>
      <c r="F140" s="456" t="s">
        <v>932</v>
      </c>
      <c r="G140" s="444"/>
      <c r="H140" s="444"/>
      <c r="I140" s="444"/>
    </row>
    <row r="141" spans="1:27" x14ac:dyDescent="0.25">
      <c r="A141" s="990"/>
      <c r="B141" s="952" t="str">
        <f>INDEX(C141:I141,1,MATCH(PRZEGLAD!$D$7,$C$1:$I$1))</f>
        <v>[G{2,Spocznik}]</v>
      </c>
      <c r="C141" s="457" t="s">
        <v>934</v>
      </c>
      <c r="D141" s="457" t="s">
        <v>945</v>
      </c>
      <c r="E141" s="457" t="s">
        <v>957</v>
      </c>
      <c r="F141" s="457" t="s">
        <v>934</v>
      </c>
    </row>
    <row r="142" spans="1:27" x14ac:dyDescent="0.25">
      <c r="A142" s="990"/>
      <c r="B142" s="952" t="str">
        <f>INDEX(C142:I142,1,MATCH(PRZEGLAD!$D$7,$C$1:$I$1))</f>
        <v>[Q{Spocznik}]</v>
      </c>
      <c r="C142" s="457" t="s">
        <v>935</v>
      </c>
      <c r="D142" s="457" t="s">
        <v>946</v>
      </c>
      <c r="E142" s="457" t="s">
        <v>958</v>
      </c>
      <c r="F142" s="457" t="s">
        <v>935</v>
      </c>
    </row>
    <row r="143" spans="1:27" x14ac:dyDescent="0.25">
      <c r="A143" s="990"/>
      <c r="B143" s="952" t="str">
        <f>INDEX(C143:I143,1,MATCH(PRZEGLAD!$D$7,$C$1:$I$1))</f>
        <v>[V{Spocznik}]</v>
      </c>
      <c r="C143" s="457" t="s">
        <v>936</v>
      </c>
      <c r="D143" s="457" t="s">
        <v>947</v>
      </c>
      <c r="E143" s="457" t="s">
        <v>959</v>
      </c>
      <c r="F143" s="457" t="s">
        <v>936</v>
      </c>
    </row>
    <row r="144" spans="1:27" x14ac:dyDescent="0.25">
      <c r="A144" s="990"/>
      <c r="B144" s="952" t="str">
        <f>INDEX(C144:I144,1,MATCH(PRZEGLAD!$D$7,$C$1:$I$1))</f>
        <v>[G{Bieg}]</v>
      </c>
      <c r="C144" s="457" t="s">
        <v>937</v>
      </c>
      <c r="D144" s="457" t="s">
        <v>948</v>
      </c>
      <c r="E144" s="457" t="s">
        <v>960</v>
      </c>
      <c r="F144" s="457" t="s">
        <v>937</v>
      </c>
    </row>
    <row r="145" spans="1:6" x14ac:dyDescent="0.25">
      <c r="A145" s="990"/>
      <c r="B145" s="952" t="str">
        <f>INDEX(C145:I145,1,MATCH(PRZEGLAD!$D$7,$C$1:$I$1))</f>
        <v>[Q{Bieg}]</v>
      </c>
      <c r="C145" s="457" t="s">
        <v>938</v>
      </c>
      <c r="D145" s="457" t="s">
        <v>949</v>
      </c>
      <c r="E145" s="457" t="s">
        <v>961</v>
      </c>
      <c r="F145" s="457" t="s">
        <v>938</v>
      </c>
    </row>
    <row r="146" spans="1:6" x14ac:dyDescent="0.25">
      <c r="A146" s="990"/>
      <c r="B146" s="952" t="str">
        <f>INDEX(C146:I146,1,MATCH(PRZEGLAD!$D$7,$C$1:$I$1))</f>
        <v>[V{Bieg}]</v>
      </c>
      <c r="C146" s="457" t="s">
        <v>939</v>
      </c>
      <c r="D146" s="457" t="s">
        <v>950</v>
      </c>
      <c r="E146" s="457" t="s">
        <v>962</v>
      </c>
      <c r="F146" s="457" t="s">
        <v>939</v>
      </c>
    </row>
    <row r="147" spans="1:6" x14ac:dyDescent="0.25">
      <c r="A147" s="990"/>
      <c r="B147" s="952" t="str">
        <f>INDEX(C147:I147,1,MATCH(PRZEGLAD!$D$7,$C$1:$I$1))</f>
        <v>[G{całkowite}]</v>
      </c>
      <c r="C147" s="457" t="s">
        <v>940</v>
      </c>
      <c r="D147" s="457" t="s">
        <v>951</v>
      </c>
      <c r="E147" s="457" t="s">
        <v>963</v>
      </c>
      <c r="F147" s="457" t="s">
        <v>940</v>
      </c>
    </row>
    <row r="148" spans="1:6" x14ac:dyDescent="0.25">
      <c r="A148" s="990"/>
      <c r="B148" s="952" t="str">
        <f>INDEX(C148:I148,1,MATCH(PRZEGLAD!$D$7,$C$1:$I$1))</f>
        <v>[Q{całkowite}]</v>
      </c>
      <c r="C148" s="457" t="s">
        <v>941</v>
      </c>
      <c r="D148" s="457" t="s">
        <v>952</v>
      </c>
      <c r="E148" s="457" t="s">
        <v>964</v>
      </c>
      <c r="F148" s="457" t="s">
        <v>941</v>
      </c>
    </row>
    <row r="149" spans="1:6" x14ac:dyDescent="0.25">
      <c r="A149" s="990"/>
      <c r="B149" s="952" t="str">
        <f>INDEX(C149:I149,1,MATCH(PRZEGLAD!$D$7,$C$1:$I$1))</f>
        <v>[V{całkowite}]</v>
      </c>
      <c r="C149" s="457" t="s">
        <v>942</v>
      </c>
      <c r="D149" s="457" t="s">
        <v>953</v>
      </c>
      <c r="E149" s="457" t="s">
        <v>965</v>
      </c>
      <c r="F149" s="457" t="s">
        <v>942</v>
      </c>
    </row>
    <row r="150" spans="1:6" x14ac:dyDescent="0.25">
      <c r="A150" s="990"/>
      <c r="B150" s="952" t="str">
        <f>INDEX(C150:I150,1,MATCH(PRZEGLAD!$D$7,$C$1:$I$1))</f>
        <v>[G{1,Bieg}]</v>
      </c>
      <c r="C150" s="457" t="s">
        <v>943</v>
      </c>
      <c r="D150" s="457" t="s">
        <v>954</v>
      </c>
      <c r="E150" s="457" t="s">
        <v>966</v>
      </c>
      <c r="F150" s="457" t="s">
        <v>943</v>
      </c>
    </row>
    <row r="151" spans="1:6" x14ac:dyDescent="0.25">
      <c r="A151" s="990"/>
      <c r="B151" s="952" t="str">
        <f>INDEX(C151:I151,1,MATCH(PRZEGLAD!$D$7,$C$1:$I$1))</f>
        <v>[G{2,Bieg}]</v>
      </c>
      <c r="C151" s="457" t="s">
        <v>944</v>
      </c>
      <c r="D151" s="457" t="s">
        <v>955</v>
      </c>
      <c r="E151" s="457" t="s">
        <v>967</v>
      </c>
      <c r="F151" s="457" t="s">
        <v>944</v>
      </c>
    </row>
    <row r="152" spans="1:6" x14ac:dyDescent="0.25">
      <c r="A152" s="990"/>
      <c r="B152" s="952" t="str">
        <f>INDEX(C152:I152,1,MATCH(PRZEGLAD!$D$7,$C$1:$I$1))</f>
        <v>[Q{Bieg}]</v>
      </c>
      <c r="C152" s="457" t="s">
        <v>938</v>
      </c>
      <c r="D152" s="457" t="s">
        <v>949</v>
      </c>
      <c r="E152" s="457" t="s">
        <v>961</v>
      </c>
      <c r="F152" s="457" t="s">
        <v>938</v>
      </c>
    </row>
    <row r="153" spans="1:6" x14ac:dyDescent="0.25">
      <c r="A153" s="990"/>
      <c r="B153" s="952" t="str">
        <f>INDEX(C153:I153,1,MATCH(PRZEGLAD!$D$7,$C$1:$I$1))</f>
        <v>[V{Bieg}]</v>
      </c>
      <c r="C153" s="457" t="s">
        <v>939</v>
      </c>
      <c r="D153" s="457" t="s">
        <v>950</v>
      </c>
      <c r="E153" s="457" t="s">
        <v>962</v>
      </c>
      <c r="F153" s="457" t="s">
        <v>939</v>
      </c>
    </row>
    <row r="154" spans="1:6" x14ac:dyDescent="0.25">
      <c r="A154" s="990"/>
      <c r="B154" s="952" t="str">
        <f>INDEX(C154:I154,1,MATCH(PRZEGLAD!$D$7,$C$1:$I$1))</f>
        <v>R 30</v>
      </c>
      <c r="C154" s="457" t="s">
        <v>182</v>
      </c>
      <c r="D154" s="457" t="s">
        <v>182</v>
      </c>
      <c r="E154" s="457" t="s">
        <v>182</v>
      </c>
      <c r="F154" s="457" t="s">
        <v>182</v>
      </c>
    </row>
    <row r="155" spans="1:6" x14ac:dyDescent="0.25">
      <c r="A155" s="990"/>
      <c r="B155" s="952" t="str">
        <f>INDEX(C155:I155,1,MATCH(PRZEGLAD!$D$7,$C$1:$I$1))</f>
        <v>R 120</v>
      </c>
      <c r="C155" s="457" t="str">
        <f>IF(PRZEGLAD!$D$6="PL","R 120","R 90")</f>
        <v>R 120</v>
      </c>
      <c r="D155" s="457" t="str">
        <f>IF(PRZEGLAD!$D$6="PL","R 120","R 90")</f>
        <v>R 120</v>
      </c>
      <c r="E155" s="457" t="str">
        <f>IF(PRZEGLAD!$D$6="PL","R 120","R 90")</f>
        <v>R 120</v>
      </c>
      <c r="F155" s="457" t="str">
        <f>IF(PRZEGLAD!$D$6="PL","R 120","R 90")</f>
        <v>R 120</v>
      </c>
    </row>
    <row r="156" spans="1:6" x14ac:dyDescent="0.25">
      <c r="A156" s="990"/>
      <c r="B156" s="952" t="str">
        <f>INDEX(C156:I156,1,MATCH(PRZEGLAD!$D$7,$C$1:$I$1))</f>
        <v>Spocznik</v>
      </c>
      <c r="C156" s="457" t="s">
        <v>297</v>
      </c>
      <c r="D156" s="457" t="s">
        <v>977</v>
      </c>
      <c r="E156" s="457" t="s">
        <v>582</v>
      </c>
      <c r="F156" s="457" t="s">
        <v>977</v>
      </c>
    </row>
    <row r="157" spans="1:6" x14ac:dyDescent="0.25">
      <c r="A157" s="990"/>
      <c r="B157" s="952" t="str">
        <f>INDEX(C157:I157,1,MATCH(PRZEGLAD!$D$7,$C$1:$I$1))</f>
        <v>Bieg</v>
      </c>
      <c r="C157" s="457" t="s">
        <v>2</v>
      </c>
      <c r="D157" s="457" t="s">
        <v>672</v>
      </c>
      <c r="E157" s="457" t="s">
        <v>975</v>
      </c>
      <c r="F157" s="457" t="s">
        <v>672</v>
      </c>
    </row>
    <row r="158" spans="1:6" x14ac:dyDescent="0.25">
      <c r="A158" s="990"/>
      <c r="B158" s="952" t="str">
        <f>INDEX(C158:I158,1,MATCH(PRZEGLAD!$D$7,$C$1:$I$1))</f>
        <v>całkowite</v>
      </c>
      <c r="C158" s="457" t="s">
        <v>974</v>
      </c>
      <c r="D158" s="457" t="s">
        <v>978</v>
      </c>
      <c r="E158" s="457" t="s">
        <v>976</v>
      </c>
      <c r="F158" s="457" t="s">
        <v>978</v>
      </c>
    </row>
    <row r="159" spans="1:6" x14ac:dyDescent="0.25">
      <c r="A159" s="990"/>
      <c r="B159" s="952" t="str">
        <f>INDEX(C159:I159,1,MATCH(PRZEGLAD!$D$7,$C$1:$I$1))</f>
        <v>Wersja</v>
      </c>
      <c r="C159" s="457" t="s">
        <v>930</v>
      </c>
      <c r="D159" s="457" t="s">
        <v>930</v>
      </c>
      <c r="E159" s="457" t="s">
        <v>931</v>
      </c>
      <c r="F159" s="457" t="s">
        <v>930</v>
      </c>
    </row>
    <row r="160" spans="1:6" x14ac:dyDescent="0.25">
      <c r="A160" s="990"/>
      <c r="B160" s="952" t="str">
        <f>INDEX(C160:I160,1,MATCH(PRZEGLAD!$D$7,$C$1:$I$1))</f>
        <v>Char.</v>
      </c>
      <c r="C160" s="457" t="s">
        <v>459</v>
      </c>
      <c r="D160" s="457" t="s">
        <v>970</v>
      </c>
      <c r="E160" s="457" t="s">
        <v>972</v>
      </c>
      <c r="F160" s="457" t="s">
        <v>459</v>
      </c>
    </row>
    <row r="161" spans="1:9" x14ac:dyDescent="0.25">
      <c r="A161" s="990"/>
      <c r="B161" s="952" t="str">
        <f>INDEX(C161:I161,1,MATCH(PRZEGLAD!$D$7,$C$1:$I$1))</f>
        <v>Obl.</v>
      </c>
      <c r="C161" s="457" t="s">
        <v>460</v>
      </c>
      <c r="D161" s="457" t="s">
        <v>971</v>
      </c>
      <c r="E161" s="457" t="s">
        <v>973</v>
      </c>
      <c r="F161" s="457" t="s">
        <v>460</v>
      </c>
    </row>
    <row r="162" spans="1:9" x14ac:dyDescent="0.25">
      <c r="A162" s="990"/>
      <c r="B162" s="952" t="str">
        <f>INDEX(C162:I162,1,MATCH(PRZEGLAD!$D$7,$C$1:$I$1))</f>
        <v>na dole</v>
      </c>
      <c r="C162" s="457" t="s">
        <v>366</v>
      </c>
      <c r="D162" s="457" t="s">
        <v>703</v>
      </c>
      <c r="E162" s="457" t="s">
        <v>607</v>
      </c>
      <c r="F162" s="457" t="s">
        <v>366</v>
      </c>
    </row>
    <row r="163" spans="1:9" ht="15.75" thickBot="1" x14ac:dyDescent="0.3">
      <c r="A163" s="991"/>
      <c r="B163" s="954" t="str">
        <f>INDEX(C163:I163,1,MATCH(PRZEGLAD!$D$7,$C$1:$I$1))</f>
        <v>na górze</v>
      </c>
      <c r="C163" s="458" t="s">
        <v>367</v>
      </c>
      <c r="D163" s="458" t="s">
        <v>704</v>
      </c>
      <c r="E163" s="458" t="s">
        <v>608</v>
      </c>
      <c r="F163" s="458" t="s">
        <v>367</v>
      </c>
      <c r="G163" s="446"/>
      <c r="H163" s="446"/>
      <c r="I163" s="446"/>
    </row>
    <row r="164" spans="1:9" x14ac:dyDescent="0.25">
      <c r="A164" s="872"/>
      <c r="B164" s="952" t="str">
        <f>INDEX(C164:I164,1,MATCH(PRZEGLAD!$D$7,$C$1:$I$1))</f>
        <v>tak</v>
      </c>
      <c r="C164" s="457" t="s">
        <v>989</v>
      </c>
      <c r="D164" s="457" t="s">
        <v>990</v>
      </c>
      <c r="E164" s="457" t="s">
        <v>992</v>
      </c>
      <c r="F164" s="941" t="s">
        <v>995</v>
      </c>
    </row>
    <row r="165" spans="1:9" x14ac:dyDescent="0.25">
      <c r="B165" s="952" t="str">
        <f>INDEX(C165:I165,1,MATCH(PRZEGLAD!$D$7,$C$1:$I$1))</f>
        <v>nie</v>
      </c>
      <c r="C165" s="457" t="s">
        <v>462</v>
      </c>
      <c r="D165" s="457" t="s">
        <v>991</v>
      </c>
      <c r="E165" s="445" t="s">
        <v>993</v>
      </c>
      <c r="F165" s="941" t="s">
        <v>994</v>
      </c>
    </row>
    <row r="166" spans="1:9" ht="30" x14ac:dyDescent="0.25">
      <c r="B166" s="952" t="str">
        <f>INDEX(C166:I166,1,MATCH(PRZEGLAD!$D$7,$C$1:$I$1))</f>
        <v>Wybierać: Przejmij obciążenia z obliczeń biegu?</v>
      </c>
      <c r="C166" s="457" t="str">
        <f>"Auswahl: "&amp;C67&amp;"?"</f>
        <v>Auswahl: Last von "Treppenlauf" übernehmen?</v>
      </c>
      <c r="D166" s="457" t="str">
        <f>"Select: "&amp;D67&amp;"?"</f>
        <v>Select: use load from "flight of stairs"?</v>
      </c>
      <c r="E166" s="457" t="str">
        <f>"Wybierać: "&amp;E67&amp;"?"</f>
        <v>Wybierać: Przejmij obciążenia z obliczeń biegu?</v>
      </c>
      <c r="F166" s="457" t="str">
        <f>"Izberite: "&amp;F67&amp;"?"</f>
        <v>Izberite: prenašanje obtežbe "stopniščne rame"?</v>
      </c>
    </row>
    <row r="167" spans="1:9" x14ac:dyDescent="0.25">
      <c r="B167" s="952" t="str">
        <f>INDEX(C167:I167,1,MATCH(PRZEGLAD!$D$7,$C$1:$I$1))</f>
        <v>Przekroczono nośność!</v>
      </c>
      <c r="C167" s="457" t="s">
        <v>997</v>
      </c>
      <c r="D167" s="457" t="s">
        <v>996</v>
      </c>
      <c r="E167" s="445" t="s">
        <v>998</v>
      </c>
      <c r="F167" s="941" t="s">
        <v>999</v>
      </c>
    </row>
  </sheetData>
  <mergeCells count="9">
    <mergeCell ref="A140:A163"/>
    <mergeCell ref="A137:A139"/>
    <mergeCell ref="A135:A136"/>
    <mergeCell ref="A2:A13"/>
    <mergeCell ref="A54:A75"/>
    <mergeCell ref="A89:A103"/>
    <mergeCell ref="A14:A53"/>
    <mergeCell ref="A76:A88"/>
    <mergeCell ref="A104:A132"/>
  </mergeCells>
  <pageMargins left="0.7" right="0.7" top="0.78740157499999996" bottom="0.78740157499999996" header="0.3" footer="0.3"/>
  <pageSetup paperSize="9"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F27BF-83EC-4619-9108-F987AC96A2EF}">
  <dimension ref="A1:D29"/>
  <sheetViews>
    <sheetView topLeftCell="B1" workbookViewId="0">
      <selection activeCell="F175" sqref="F175"/>
    </sheetView>
  </sheetViews>
  <sheetFormatPr baseColWidth="10" defaultColWidth="11.42578125" defaultRowHeight="15" x14ac:dyDescent="0.25"/>
  <cols>
    <col min="1" max="1" width="47" bestFit="1" customWidth="1"/>
    <col min="3" max="3" width="108.42578125" customWidth="1"/>
    <col min="4" max="4" width="6" bestFit="1" customWidth="1"/>
  </cols>
  <sheetData>
    <row r="1" spans="1:4" x14ac:dyDescent="0.25">
      <c r="A1" s="998" t="s">
        <v>16</v>
      </c>
      <c r="B1" s="998"/>
      <c r="C1" s="998"/>
      <c r="D1" s="861" t="s">
        <v>141</v>
      </c>
    </row>
    <row r="2" spans="1:4" x14ac:dyDescent="0.25">
      <c r="A2" s="861" t="s">
        <v>142</v>
      </c>
      <c r="B2" s="860" t="s">
        <v>143</v>
      </c>
      <c r="C2" s="861" t="s">
        <v>144</v>
      </c>
      <c r="D2" s="860">
        <v>0</v>
      </c>
    </row>
    <row r="3" spans="1:4" x14ac:dyDescent="0.25">
      <c r="A3" t="s">
        <v>145</v>
      </c>
      <c r="B3" t="b">
        <f>AND('BIEG - DANE'!L22="Typ F",'BIEG - DANE'!E28&lt;'BIEG - DANE'!L24)</f>
        <v>0</v>
      </c>
      <c r="C3" t="s">
        <v>146</v>
      </c>
      <c r="D3" s="862">
        <f>IF(B3=TRUE,LARGE($D$2:D2,1)+1,0)</f>
        <v>0</v>
      </c>
    </row>
    <row r="4" spans="1:4" ht="18" x14ac:dyDescent="0.35">
      <c r="A4" t="s">
        <v>147</v>
      </c>
      <c r="B4" t="b">
        <f>AND('BIEG - DANE'!L26="Typ F",'BIEG - DANE'!E30&lt;13+'BIEG - DANE'!L28)</f>
        <v>0</v>
      </c>
      <c r="C4" t="s">
        <v>148</v>
      </c>
      <c r="D4" s="862">
        <f>IF(B4=TRUE,LARGE($D$2:D3,1)+1,0)</f>
        <v>0</v>
      </c>
    </row>
    <row r="5" spans="1:4" x14ac:dyDescent="0.25">
      <c r="A5" t="s">
        <v>149</v>
      </c>
      <c r="B5" t="b">
        <f>AND('BIEG - DANE'!L22="Typ F",'BIEG - DANE'!L23&gt;'BIEG - DANE'!E27)</f>
        <v>0</v>
      </c>
      <c r="C5" t="s">
        <v>150</v>
      </c>
      <c r="D5" s="862">
        <f>IF(B5=TRUE,LARGE($D$2:D4,1)+1,0)</f>
        <v>0</v>
      </c>
    </row>
    <row r="6" spans="1:4" x14ac:dyDescent="0.25">
      <c r="A6" t="s">
        <v>151</v>
      </c>
      <c r="B6" t="b">
        <f>AND('BIEG - DANE'!L26="Typ F",'BIEG - DANE'!L27&gt;'BIEG - DANE'!E29)</f>
        <v>0</v>
      </c>
      <c r="C6" t="s">
        <v>152</v>
      </c>
      <c r="D6" s="862">
        <f>IF(B6=TRUE,LARGE($D$2:D5,1)+1,0)</f>
        <v>0</v>
      </c>
    </row>
    <row r="7" spans="1:4" x14ac:dyDescent="0.25">
      <c r="A7" t="s">
        <v>153</v>
      </c>
      <c r="B7" t="b">
        <f>AND(OR('BIEG - DANE'!L22="Typ F",'BIEG - DANE'!L26="Typ F"),'BIEG - DANE'!D15="Ortbeton")</f>
        <v>0</v>
      </c>
      <c r="C7" t="s">
        <v>154</v>
      </c>
      <c r="D7" s="862">
        <f>IF(B7=TRUE,LARGE($D$2:D6,1)+1,0)</f>
        <v>0</v>
      </c>
    </row>
    <row r="8" spans="1:4" x14ac:dyDescent="0.25">
      <c r="A8" t="s">
        <v>155</v>
      </c>
      <c r="B8" t="b">
        <f>AND(OR('BIEG - DANE'!L22="Typ F",'BIEG - DANE'!L26="Typ F"),OR(RIGHT('BIEG - DANE'!D16,5)="20/25",RIGHT('BIEG - DANE'!D16,5)="25/30"))</f>
        <v>0</v>
      </c>
      <c r="C8" t="s">
        <v>156</v>
      </c>
      <c r="D8" s="862">
        <f>IF(B8=TRUE,LARGE($D$2:D7,1)+1,0)</f>
        <v>0</v>
      </c>
    </row>
    <row r="9" spans="1:4" x14ac:dyDescent="0.25">
      <c r="A9" t="s">
        <v>157</v>
      </c>
      <c r="B9" t="b">
        <f>AND(COUNTIF(Eingabekonfig_Treppenlauf!E4:E23,'BIEG - DANE'!L23)=0,'BIEG - DANE'!L22="Typ F")</f>
        <v>0</v>
      </c>
      <c r="C9" t="str">
        <f>'BIEG - DANE'!$L$22&amp;": "&amp;SMALL(Eingabekonfig_Treppenlauf!E4:E23,1)&amp;" ≤ "&amp;'BIEG - DANE'!$K$23&amp;" ≤ "&amp;LARGE(Eingabekonfig_Treppenlauf!E4:E23,1)</f>
        <v>Typ F: 10 ≤ [H4] ≤ 27</v>
      </c>
      <c r="D9" s="862">
        <f>IF(B9=TRUE,LARGE($D$2:D8,1)+1,0)</f>
        <v>0</v>
      </c>
    </row>
    <row r="10" spans="1:4" x14ac:dyDescent="0.25">
      <c r="A10" t="s">
        <v>158</v>
      </c>
      <c r="B10" t="b">
        <f>AND(COUNTIF(Eingabekonfig_Treppenlauf!E36:E55,'BIEG - DANE'!L27)=0,'BIEG - DANE'!L26="Typ F")</f>
        <v>0</v>
      </c>
      <c r="C10" t="str">
        <f>'BIEG - DANE'!$L$26&amp;": "&amp;SMALL(Eingabekonfig_Treppenlauf!E36:E55,1)&amp;" ≤ "&amp;'BIEG - DANE'!$K$27&amp;" ≤ "&amp;LARGE(Eingabekonfig_Treppenlauf!E36:E55,1)</f>
        <v>Typ F: 10 ≤ [H5] ≤ 27</v>
      </c>
      <c r="D10" s="862">
        <f>IF(B10=TRUE,LARGE($D$2:D9,1)+1,0)</f>
        <v>0</v>
      </c>
    </row>
    <row r="11" spans="1:4" x14ac:dyDescent="0.25">
      <c r="A11" t="s">
        <v>159</v>
      </c>
      <c r="B11" t="b">
        <f>OR('BIEG - DANE'!E27&lt;Eingabekonfig_Treppenlauf!I110,'BIEG - DANE'!E27&gt;Eingabekonfig_Treppenlauf!I111)</f>
        <v>0</v>
      </c>
      <c r="C11" t="str">
        <f>'BIEG - DANE'!$L$22&amp;": "&amp;Eingabekonfig_Treppenlauf!I110&amp;" ≤ "&amp;'BIEG - DANE'!$D$27&amp;" ≤ "&amp;Eingabekonfig_Treppenlauf!I111</f>
        <v>Typ F: 16 ≤ [H2] ≤ 50</v>
      </c>
      <c r="D11" s="862">
        <f>IF(B11=TRUE,LARGE($D$2:D10,1)+1,0)</f>
        <v>0</v>
      </c>
    </row>
    <row r="12" spans="1:4" x14ac:dyDescent="0.25">
      <c r="A12" t="s">
        <v>160</v>
      </c>
      <c r="B12" t="b">
        <f>OR('BIEG - DANE'!E29&lt;Eingabekonfig_Treppenlauf!J110,'BIEG - DANE'!E29&gt;Eingabekonfig_Treppenlauf!J111)</f>
        <v>0</v>
      </c>
      <c r="C12" t="str">
        <f>'BIEG - DANE'!$L$26&amp;": "&amp;Eingabekonfig_Treppenlauf!J110&amp;" ≤ "&amp;'BIEG - DANE'!$D$29&amp;" ≤ "&amp;Eingabekonfig_Treppenlauf!J111</f>
        <v>Typ F: 16 ≤ [H3] ≤ 50</v>
      </c>
      <c r="D12" s="862">
        <f>IF(B12=TRUE,LARGE($D$2:D11,1)+1,0)</f>
        <v>0</v>
      </c>
    </row>
    <row r="13" spans="1:4" x14ac:dyDescent="0.25">
      <c r="B13" t="b">
        <f>COUNTIF(Texte_Sprachen!B154:B155,'BIEG - DANE'!D14)=0</f>
        <v>0</v>
      </c>
      <c r="C13" t="str">
        <f>"!"&amp;Texte_Sprachen!B16&amp;"!"</f>
        <v>!Ochrona ppoż.!</v>
      </c>
      <c r="D13" s="862">
        <f>IF(B13=TRUE,LARGE($D$2:D12,1)+1,0)</f>
        <v>0</v>
      </c>
    </row>
    <row r="14" spans="1:4" x14ac:dyDescent="0.25">
      <c r="A14" t="s">
        <v>161</v>
      </c>
      <c r="B14" s="935" t="s">
        <v>562</v>
      </c>
      <c r="C14" t="s">
        <v>162</v>
      </c>
      <c r="D14" s="862">
        <f>IF(B14=TRUE,LARGE($D$2:D12,1)+1,0)</f>
        <v>0</v>
      </c>
    </row>
    <row r="15" spans="1:4" x14ac:dyDescent="0.25">
      <c r="A15" s="998" t="s">
        <v>2</v>
      </c>
      <c r="B15" s="998"/>
      <c r="C15" s="998"/>
      <c r="D15" s="861" t="s">
        <v>141</v>
      </c>
    </row>
    <row r="16" spans="1:4" x14ac:dyDescent="0.25">
      <c r="A16" s="861" t="s">
        <v>142</v>
      </c>
      <c r="B16" s="860" t="s">
        <v>143</v>
      </c>
      <c r="C16" s="861" t="s">
        <v>144</v>
      </c>
      <c r="D16" s="860">
        <v>0</v>
      </c>
    </row>
    <row r="17" spans="1:4" x14ac:dyDescent="0.25">
      <c r="A17" t="s">
        <v>163</v>
      </c>
      <c r="B17" t="b">
        <f>OR(AND('SPOCZNIK - DANE'!K25="Typ F",LEFT('SPOCZNIK - DANE'!K24,5)="Typ Z",'SPOCZNIK - DANE'!E21&lt;12.6+'SPOCZNIK - DANE'!K27),AND('SPOCZNIK - DANE'!K25="Typ F",LEFT('SPOCZNIK - DANE'!K24,5)="Typ P",'SPOCZNIK - DANE'!E21&lt;20+'SPOCZNIK - DANE'!K27))</f>
        <v>0</v>
      </c>
      <c r="C17" t="s">
        <v>164</v>
      </c>
      <c r="D17" s="862">
        <f>IF(B17=TRUE,LARGE($D$16:D16,1)+1,0)</f>
        <v>0</v>
      </c>
    </row>
    <row r="18" spans="1:4" x14ac:dyDescent="0.25">
      <c r="A18" t="s">
        <v>165</v>
      </c>
      <c r="B18" t="b">
        <f>OR(AND(LEFT('SPOCZNIK - DANE'!K24,5)="Typ Z",'SPOCZNIK - DANE'!E22&lt;12.6),AND(LEFT('SPOCZNIK - DANE'!K24,5)="Typ P",'SPOCZNIK - DANE'!E22&lt;20))</f>
        <v>0</v>
      </c>
      <c r="C18" t="s">
        <v>166</v>
      </c>
      <c r="D18" s="862">
        <f>IF(B18=TRUE,LARGE($D$16:D17,1)+1,0)</f>
        <v>0</v>
      </c>
    </row>
    <row r="19" spans="1:4" x14ac:dyDescent="0.25">
      <c r="A19" t="s">
        <v>167</v>
      </c>
      <c r="B19" t="b">
        <f>OR(AND('SPOCZNIK - DANE'!E20=Texte_Sprachen!B61,LEFT('SPOCZNIK - DANE'!K24,5)="Typ P",'SPOCZNIK - DANE'!E18-2*'SPOCZNIK - DANE'!E22&lt;40),AND('SPOCZNIK - DANE'!E20=Texte_Sprachen!B61,LEFT('SPOCZNIK - DANE'!K24,5)="Typ Z",'SPOCZNIK - DANE'!E18-2*'SPOCZNIK - DANE'!E22&lt;35.6))</f>
        <v>0</v>
      </c>
      <c r="C19" t="s">
        <v>168</v>
      </c>
      <c r="D19" s="862">
        <f>IF(B19=TRUE,LARGE($D$16:D18,1)+1,0)</f>
        <v>0</v>
      </c>
    </row>
    <row r="20" spans="1:4" x14ac:dyDescent="0.25">
      <c r="A20" t="s">
        <v>169</v>
      </c>
      <c r="B20" t="b">
        <f>OR(AND('SPOCZNIK - DANE'!E20=Texte_Sprachen!B61,LEFT('SPOCZNIK - DANE'!K24,5)="Typ P",'SPOCZNIK - DANE'!E19-'SPOCZNIK - DANE'!E21-'SPOCZNIK - DANE'!E22&lt;40),AND('SPOCZNIK - DANE'!E20=Texte_Sprachen!B61,LEFT('SPOCZNIK - DANE'!K24,5)="Typ Z",'SPOCZNIK - DANE'!E19-'SPOCZNIK - DANE'!E21-'SPOCZNIK - DANE'!E22&lt;35.6))</f>
        <v>0</v>
      </c>
      <c r="C20" t="s">
        <v>170</v>
      </c>
      <c r="D20" s="862">
        <f>IF(B20=TRUE,LARGE($D$16:D19,1)+1,0)</f>
        <v>0</v>
      </c>
    </row>
    <row r="21" spans="1:4" x14ac:dyDescent="0.25">
      <c r="A21" t="s">
        <v>171</v>
      </c>
      <c r="B21" t="b">
        <f>'SPOCZNIK - DANE'!K29&gt;'SPOCZNIK - DANE'!E23</f>
        <v>0</v>
      </c>
      <c r="C21" t="s">
        <v>172</v>
      </c>
      <c r="D21" s="862">
        <f>IF(B21=TRUE,LARGE($D$16:D20,1)+1,0)</f>
        <v>0</v>
      </c>
    </row>
    <row r="22" spans="1:4" x14ac:dyDescent="0.25">
      <c r="A22" t="s">
        <v>173</v>
      </c>
      <c r="B22" t="b">
        <f>'SPOCZNIK - DANE'!K28*2&gt;'SPOCZNIK - DANE'!E18</f>
        <v>0</v>
      </c>
      <c r="C22" t="s">
        <v>174</v>
      </c>
      <c r="D22" s="862">
        <f>IF(B22=TRUE,LARGE($D$16:D21,1)+1,0)</f>
        <v>0</v>
      </c>
    </row>
    <row r="23" spans="1:4" x14ac:dyDescent="0.25">
      <c r="A23" t="s">
        <v>175</v>
      </c>
      <c r="B23" t="b">
        <f>OR(AND(LEFT('SPOCZNIK - DANE'!K24,5)="Typ Z",'SPOCZNIK - DANE'!E24&lt;&gt;1.5),AND(LEFT('SPOCZNIK - DANE'!K24,5)="Typ P",'SPOCZNIK - DANE'!E24&lt;1.5),AND(LEFT('SPOCZNIK - DANE'!K24,5)="Typ P",'SPOCZNIK - DANE'!E24&gt;5))</f>
        <v>0</v>
      </c>
      <c r="C23" t="s">
        <v>176</v>
      </c>
      <c r="D23" s="862">
        <f>IF(B23=TRUE,LARGE($D$16:D22,1)+1,0)</f>
        <v>0</v>
      </c>
    </row>
    <row r="24" spans="1:4" x14ac:dyDescent="0.25">
      <c r="B24" t="b">
        <f>COUNTIF(Texte_Sprachen!B154:B155,'SPOCZNIK - DANE'!E14)=0</f>
        <v>0</v>
      </c>
      <c r="C24" t="str">
        <f>"!"&amp;Texte_Sprachen!B16&amp;"!"</f>
        <v>!Ochrona ppoż.!</v>
      </c>
      <c r="D24" s="862">
        <f>IF(B24=TRUE,LARGE($D$16:D23,1)+1,0)</f>
        <v>0</v>
      </c>
    </row>
    <row r="25" spans="1:4" x14ac:dyDescent="0.25">
      <c r="B25" t="b">
        <f>COUNTIF(Texte_Sprachen!B164:B165,'SPOCZNIK - DANE'!K18)=0</f>
        <v>0</v>
      </c>
      <c r="C25" t="str">
        <f>Texte_Sprachen!B166</f>
        <v>Wybierać: Przejmij obciążenia z obliczeń biegu?</v>
      </c>
      <c r="D25" s="862">
        <f>IF(B25=TRUE,LARGE($D$16:D24,1)+1,0)</f>
        <v>0</v>
      </c>
    </row>
    <row r="26" spans="1:4" x14ac:dyDescent="0.25">
      <c r="A26" t="s">
        <v>177</v>
      </c>
      <c r="B26" t="b">
        <f>AND(LEFT('SPOCZNIK - DANE'!K24,5)="Typ P",'SPOCZNIK - DANE'!E14="R 90",'SPOCZNIK - DANE'!E23&lt;18)</f>
        <v>0</v>
      </c>
      <c r="C26" t="s">
        <v>178</v>
      </c>
      <c r="D26" s="862">
        <f>IF(B26=TRUE,LARGE($D$16:D23,1)+1,0)</f>
        <v>0</v>
      </c>
    </row>
    <row r="27" spans="1:4" x14ac:dyDescent="0.25">
      <c r="A27" s="998" t="s">
        <v>560</v>
      </c>
      <c r="B27" s="998"/>
      <c r="C27" s="998"/>
      <c r="D27" s="861" t="s">
        <v>141</v>
      </c>
    </row>
    <row r="28" spans="1:4" x14ac:dyDescent="0.25">
      <c r="A28" s="861" t="s">
        <v>142</v>
      </c>
      <c r="B28" s="860" t="s">
        <v>143</v>
      </c>
      <c r="C28" s="861" t="s">
        <v>144</v>
      </c>
      <c r="D28" s="860">
        <v>0</v>
      </c>
    </row>
    <row r="29" spans="1:4" x14ac:dyDescent="0.25">
      <c r="A29" t="s">
        <v>161</v>
      </c>
      <c r="B29" t="b">
        <f>'BIEG - DANE'!E30&lt;('BIEG - DANE'!E24+Lastermittlung_Lauf!C19-'BIEG - DANE'!E29)*'BIEG - DANE'!E23/'BIEG - DANE'!E24</f>
        <v>0</v>
      </c>
      <c r="C29" t="str">
        <f>Texte_Sprachen!B139</f>
        <v>Dla wybranego górnego połączenia należy wziąć pod uwagę aktualne wymagania techniczne. Prosimy o kontakt z naszym działem technicznym.</v>
      </c>
      <c r="D29" s="862">
        <f>IF(B29=TRUE,LARGE($D$28:D28,1)+1,0)</f>
        <v>0</v>
      </c>
    </row>
  </sheetData>
  <mergeCells count="3">
    <mergeCell ref="A1:C1"/>
    <mergeCell ref="A15:C15"/>
    <mergeCell ref="A27:C27"/>
  </mergeCells>
  <pageMargins left="0.7" right="0.7" top="0.78740157499999996" bottom="0.78740157499999996"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rgb="FF00437B"/>
  </sheetPr>
  <dimension ref="A1:U59"/>
  <sheetViews>
    <sheetView view="pageBreakPreview" zoomScale="85" zoomScaleNormal="85" zoomScaleSheetLayoutView="85" workbookViewId="0">
      <selection activeCell="D15" sqref="D15:G15"/>
    </sheetView>
  </sheetViews>
  <sheetFormatPr baseColWidth="10" defaultColWidth="11.42578125" defaultRowHeight="15" x14ac:dyDescent="0.25"/>
  <cols>
    <col min="1" max="1" width="2.28515625" style="242" customWidth="1"/>
    <col min="2" max="2" width="3.5703125" style="242" customWidth="1"/>
    <col min="3" max="3" width="18.85546875" style="242" customWidth="1"/>
    <col min="4" max="4" width="5" style="242" bestFit="1" customWidth="1"/>
    <col min="5" max="5" width="6.85546875" style="242" customWidth="1"/>
    <col min="6" max="6" width="6.140625" style="242" customWidth="1"/>
    <col min="7" max="7" width="1.140625" style="242" customWidth="1"/>
    <col min="8" max="8" width="5.42578125" style="242" customWidth="1"/>
    <col min="9" max="9" width="5.85546875" style="242" customWidth="1"/>
    <col min="10" max="10" width="12.28515625" style="242" customWidth="1"/>
    <col min="11" max="11" width="7.7109375" style="242" customWidth="1"/>
    <col min="12" max="12" width="7.5703125" style="242" customWidth="1"/>
    <col min="13" max="13" width="4.28515625" style="242" customWidth="1"/>
    <col min="21" max="21" width="7.140625" customWidth="1"/>
  </cols>
  <sheetData>
    <row r="1" spans="1:21" x14ac:dyDescent="0.25">
      <c r="A1" s="237"/>
      <c r="B1" s="238"/>
      <c r="C1" s="238"/>
      <c r="D1" s="238"/>
      <c r="E1" s="238"/>
      <c r="F1" s="238"/>
      <c r="G1" s="238"/>
      <c r="H1" s="238"/>
      <c r="I1" s="238"/>
      <c r="J1" s="238"/>
      <c r="K1" s="238"/>
      <c r="L1" s="238"/>
      <c r="M1" s="239"/>
      <c r="N1" s="12"/>
      <c r="O1" s="13"/>
      <c r="P1" s="13"/>
      <c r="Q1" s="13"/>
      <c r="R1" s="13"/>
      <c r="S1" s="13"/>
      <c r="T1" s="13"/>
      <c r="U1" s="14"/>
    </row>
    <row r="2" spans="1:21" x14ac:dyDescent="0.25">
      <c r="A2" s="240"/>
      <c r="B2" s="488"/>
      <c r="C2" s="488"/>
      <c r="D2" s="488"/>
      <c r="E2" s="488"/>
      <c r="F2" s="488"/>
      <c r="G2" s="488"/>
      <c r="H2" s="488"/>
      <c r="I2" s="488"/>
      <c r="J2" s="488"/>
      <c r="K2" s="488"/>
      <c r="L2" s="488"/>
      <c r="M2" s="241"/>
      <c r="N2" s="15"/>
      <c r="O2" s="1"/>
      <c r="P2" s="1"/>
      <c r="Q2" s="1"/>
      <c r="R2" s="1"/>
      <c r="S2" s="1"/>
      <c r="T2" s="1"/>
      <c r="U2" s="16"/>
    </row>
    <row r="3" spans="1:21" x14ac:dyDescent="0.25">
      <c r="A3" s="240"/>
      <c r="B3" s="488"/>
      <c r="C3" s="488"/>
      <c r="D3" s="488"/>
      <c r="E3" s="488"/>
      <c r="F3" s="488"/>
      <c r="G3" s="488"/>
      <c r="H3" s="488"/>
      <c r="I3" s="488"/>
      <c r="J3" s="488"/>
      <c r="K3" s="488"/>
      <c r="L3" s="488"/>
      <c r="M3" s="241"/>
      <c r="N3" s="15"/>
      <c r="O3" s="1"/>
      <c r="P3" s="1"/>
      <c r="Q3" s="1"/>
      <c r="R3" s="1"/>
      <c r="S3" s="1"/>
      <c r="T3" s="1"/>
      <c r="U3" s="16"/>
    </row>
    <row r="4" spans="1:21" x14ac:dyDescent="0.25">
      <c r="A4" s="629"/>
      <c r="B4" s="1025" t="str">
        <f>Texte_Sprachen!B2</f>
        <v>Dane projektu</v>
      </c>
      <c r="C4" s="1025"/>
      <c r="D4" s="630"/>
      <c r="E4" s="1026"/>
      <c r="F4" s="1026"/>
      <c r="G4" s="1026"/>
      <c r="H4" s="631"/>
      <c r="I4" s="631"/>
      <c r="J4" s="631"/>
      <c r="K4" s="630"/>
      <c r="L4" s="631"/>
      <c r="M4" s="632"/>
      <c r="N4" s="15"/>
      <c r="O4" s="1"/>
      <c r="P4" s="1"/>
      <c r="Q4" s="1"/>
      <c r="R4" s="1"/>
      <c r="S4" s="1"/>
      <c r="T4" s="1"/>
      <c r="U4" s="16"/>
    </row>
    <row r="5" spans="1:21" x14ac:dyDescent="0.25">
      <c r="A5" s="629"/>
      <c r="B5" s="1023" t="str">
        <f>Texte_Sprachen!B6</f>
        <v>Pozycja</v>
      </c>
      <c r="C5" s="1023"/>
      <c r="D5" s="1027"/>
      <c r="E5" s="1027"/>
      <c r="F5" s="1027"/>
      <c r="G5" s="1027"/>
      <c r="H5" s="1027"/>
      <c r="I5" s="1027"/>
      <c r="J5" s="634"/>
      <c r="K5" s="634"/>
      <c r="L5" s="634"/>
      <c r="M5" s="635"/>
      <c r="N5" s="15"/>
      <c r="O5" s="1"/>
      <c r="P5" s="1"/>
      <c r="Q5" s="1"/>
      <c r="R5" s="1"/>
      <c r="S5" s="1"/>
      <c r="T5" s="1"/>
      <c r="U5" s="16"/>
    </row>
    <row r="6" spans="1:21" x14ac:dyDescent="0.25">
      <c r="A6" s="629"/>
      <c r="B6" s="1023" t="str">
        <f>Texte_Sprachen!B7</f>
        <v>Element budowlany</v>
      </c>
      <c r="C6" s="1023"/>
      <c r="D6" s="1027"/>
      <c r="E6" s="1027"/>
      <c r="F6" s="1027"/>
      <c r="G6" s="1027"/>
      <c r="H6" s="1027"/>
      <c r="I6" s="1027"/>
      <c r="J6" s="634"/>
      <c r="K6" s="634"/>
      <c r="L6" s="634"/>
      <c r="M6" s="636"/>
      <c r="N6" s="15"/>
      <c r="O6" s="1"/>
      <c r="P6" s="1"/>
      <c r="Q6" s="1"/>
      <c r="R6" s="1"/>
      <c r="S6" s="1"/>
      <c r="T6" s="1"/>
      <c r="U6" s="16"/>
    </row>
    <row r="7" spans="1:21" x14ac:dyDescent="0.25">
      <c r="A7" s="629"/>
      <c r="B7" s="1023" t="str">
        <f>Texte_Sprachen!B8</f>
        <v xml:space="preserve">Ilość </v>
      </c>
      <c r="C7" s="1023"/>
      <c r="D7" s="1022">
        <v>1</v>
      </c>
      <c r="E7" s="1022"/>
      <c r="F7" s="634"/>
      <c r="G7" s="634"/>
      <c r="H7" s="634"/>
      <c r="I7" s="634"/>
      <c r="J7" s="634"/>
      <c r="K7" s="634"/>
      <c r="L7" s="634"/>
      <c r="M7" s="636"/>
      <c r="N7" s="15"/>
      <c r="O7" s="1"/>
      <c r="P7" s="1"/>
      <c r="Q7" s="1"/>
      <c r="R7" s="1"/>
      <c r="S7" s="1"/>
      <c r="T7" s="1"/>
      <c r="U7" s="16"/>
    </row>
    <row r="8" spans="1:21" x14ac:dyDescent="0.25">
      <c r="A8" s="629"/>
      <c r="B8" s="1023" t="str">
        <f>Texte_Sprachen!B9</f>
        <v>Kraj</v>
      </c>
      <c r="C8" s="1023"/>
      <c r="D8" s="1024" t="str">
        <f>PRZEGLAD!D6</f>
        <v>PL</v>
      </c>
      <c r="E8" s="1024"/>
      <c r="F8" s="634"/>
      <c r="G8" s="634"/>
      <c r="H8" s="634"/>
      <c r="I8" s="634"/>
      <c r="J8" s="637" t="str">
        <f>Texte_Sprachen!B11</f>
        <v>Data</v>
      </c>
      <c r="K8" s="1012">
        <f ca="1">NOW()</f>
        <v>45462.610219907408</v>
      </c>
      <c r="L8" s="1012"/>
      <c r="M8" s="636"/>
      <c r="N8" s="15"/>
      <c r="O8" s="1"/>
      <c r="P8" s="1"/>
      <c r="Q8" s="1"/>
      <c r="R8" s="1"/>
      <c r="S8" s="1"/>
      <c r="T8" s="1"/>
      <c r="U8" s="16"/>
    </row>
    <row r="9" spans="1:21" ht="9.9499999999999993" customHeight="1" x14ac:dyDescent="0.25">
      <c r="A9" s="629"/>
      <c r="B9" s="631"/>
      <c r="C9" s="631"/>
      <c r="D9" s="631"/>
      <c r="E9" s="631"/>
      <c r="F9" s="631"/>
      <c r="G9" s="631"/>
      <c r="H9" s="631"/>
      <c r="I9" s="631"/>
      <c r="J9" s="1015" t="str">
        <f>PRZEGLAD!K7</f>
        <v>Wersja 3.1        30.11.2023</v>
      </c>
      <c r="K9" s="1016"/>
      <c r="L9" s="1016"/>
      <c r="M9" s="1017"/>
      <c r="N9" s="15"/>
      <c r="O9" s="1"/>
      <c r="P9" s="1"/>
      <c r="Q9" s="1"/>
      <c r="R9" s="1"/>
      <c r="S9" s="1"/>
      <c r="T9" s="1"/>
      <c r="U9" s="16"/>
    </row>
    <row r="10" spans="1:21" ht="18.75" x14ac:dyDescent="0.25">
      <c r="A10" s="638"/>
      <c r="B10" s="639" t="s">
        <v>179</v>
      </c>
      <c r="C10" s="640"/>
      <c r="D10" s="640"/>
      <c r="E10" s="641"/>
      <c r="F10" s="640"/>
      <c r="G10" s="640"/>
      <c r="H10" s="642"/>
      <c r="I10" s="640"/>
      <c r="J10" s="640"/>
      <c r="K10" s="643"/>
      <c r="L10" s="643"/>
      <c r="M10" s="644"/>
      <c r="N10" s="15"/>
      <c r="O10" s="1"/>
      <c r="P10" s="1"/>
      <c r="Q10" s="1"/>
      <c r="R10" s="1"/>
      <c r="S10" s="1"/>
      <c r="T10" s="1"/>
      <c r="U10" s="16"/>
    </row>
    <row r="11" spans="1:21" ht="9.9499999999999993" customHeight="1" x14ac:dyDescent="0.25">
      <c r="A11" s="629"/>
      <c r="B11" s="645"/>
      <c r="C11" s="645"/>
      <c r="D11" s="645"/>
      <c r="E11" s="646"/>
      <c r="F11" s="645"/>
      <c r="G11" s="647"/>
      <c r="H11" s="648"/>
      <c r="I11" s="648"/>
      <c r="J11" s="648"/>
      <c r="K11" s="648"/>
      <c r="L11" s="648"/>
      <c r="M11" s="649"/>
      <c r="N11" s="15"/>
      <c r="O11" s="1"/>
      <c r="P11" s="1"/>
      <c r="Q11" s="1"/>
      <c r="R11" s="1"/>
      <c r="S11" s="1"/>
      <c r="T11" s="1"/>
      <c r="U11" s="16"/>
    </row>
    <row r="12" spans="1:21" x14ac:dyDescent="0.25">
      <c r="A12" s="650"/>
      <c r="B12" s="651" t="str">
        <f>"1. "&amp;Texte_Sprachen!B14</f>
        <v>1. Dane ogólne</v>
      </c>
      <c r="C12" s="651"/>
      <c r="D12" s="651"/>
      <c r="E12" s="652"/>
      <c r="F12" s="653"/>
      <c r="G12" s="652"/>
      <c r="H12" s="652"/>
      <c r="I12" s="652"/>
      <c r="J12" s="652"/>
      <c r="K12" s="654"/>
      <c r="L12" s="654"/>
      <c r="M12" s="635"/>
      <c r="N12" s="15"/>
      <c r="O12" s="1"/>
      <c r="P12" s="1"/>
      <c r="Q12" s="1"/>
      <c r="R12" s="1"/>
      <c r="S12" s="1"/>
      <c r="T12" s="1"/>
      <c r="U12" s="16"/>
    </row>
    <row r="13" spans="1:21" x14ac:dyDescent="0.25">
      <c r="A13" s="650"/>
      <c r="B13" s="655" t="s">
        <v>180</v>
      </c>
      <c r="C13" s="645" t="str">
        <f>Texte_Sprachen!B15</f>
        <v>System</v>
      </c>
      <c r="D13" s="651"/>
      <c r="E13" s="652"/>
      <c r="F13" s="653"/>
      <c r="G13" s="652"/>
      <c r="H13" s="655" t="s">
        <v>181</v>
      </c>
      <c r="I13" s="645" t="str">
        <f>Texte_Sprachen!B36</f>
        <v>Obciążenia</v>
      </c>
      <c r="J13" s="656"/>
      <c r="K13" s="652"/>
      <c r="L13" s="652"/>
      <c r="M13" s="635"/>
      <c r="N13" s="15"/>
      <c r="O13" s="1"/>
      <c r="P13" s="1"/>
      <c r="Q13" s="1"/>
      <c r="R13" s="1"/>
      <c r="S13" s="1"/>
      <c r="T13" s="1"/>
      <c r="U13" s="16"/>
    </row>
    <row r="14" spans="1:21" x14ac:dyDescent="0.25">
      <c r="A14" s="629"/>
      <c r="B14" s="657"/>
      <c r="C14" s="657" t="str">
        <f>Texte_Sprachen!B16</f>
        <v>Ochrona ppoż.</v>
      </c>
      <c r="D14" s="1020" t="s">
        <v>1009</v>
      </c>
      <c r="E14" s="1020"/>
      <c r="F14" s="1020"/>
      <c r="G14" s="1020"/>
      <c r="H14" s="646"/>
      <c r="I14" s="658" t="str">
        <f>Texte_Sprachen!B37</f>
        <v>Obc. stałe</v>
      </c>
      <c r="J14" s="658"/>
      <c r="K14" s="659">
        <v>2</v>
      </c>
      <c r="L14" s="646" t="s">
        <v>1002</v>
      </c>
      <c r="M14" s="632"/>
      <c r="N14" s="15"/>
      <c r="O14" s="1"/>
      <c r="P14" s="1"/>
      <c r="Q14" s="1"/>
      <c r="R14" s="1"/>
      <c r="S14" s="1"/>
      <c r="T14" s="1"/>
      <c r="U14" s="16"/>
    </row>
    <row r="15" spans="1:21" x14ac:dyDescent="0.25">
      <c r="A15" s="629"/>
      <c r="B15" s="657"/>
      <c r="C15" s="657" t="str">
        <f>Texte_Sprachen!B17</f>
        <v>Wykonanie</v>
      </c>
      <c r="D15" s="1020" t="s">
        <v>587</v>
      </c>
      <c r="E15" s="1020"/>
      <c r="F15" s="1020"/>
      <c r="G15" s="1020"/>
      <c r="H15" s="646"/>
      <c r="I15" s="658" t="str">
        <f>Texte_Sprachen!B38</f>
        <v>Obc. zmienne</v>
      </c>
      <c r="J15" s="658"/>
      <c r="K15" s="659">
        <v>5</v>
      </c>
      <c r="L15" s="646" t="s">
        <v>1003</v>
      </c>
      <c r="M15" s="632"/>
      <c r="N15" s="15"/>
      <c r="O15" s="1"/>
      <c r="P15" s="1"/>
      <c r="Q15" s="1"/>
      <c r="R15" s="1"/>
      <c r="S15" s="1"/>
      <c r="T15" s="1"/>
      <c r="U15" s="16"/>
    </row>
    <row r="16" spans="1:21" ht="15" customHeight="1" x14ac:dyDescent="0.25">
      <c r="A16" s="629"/>
      <c r="B16" s="657"/>
      <c r="C16" s="657" t="str">
        <f>Texte_Sprachen!B18</f>
        <v>Klasa betonu</v>
      </c>
      <c r="D16" s="1020" t="s">
        <v>184</v>
      </c>
      <c r="E16" s="1020"/>
      <c r="F16" s="1020"/>
      <c r="G16" s="1020"/>
      <c r="H16" s="646"/>
      <c r="I16" s="660" t="str">
        <f>Texte_Sprachen!B39</f>
        <v xml:space="preserve">Beton </v>
      </c>
      <c r="J16" s="654"/>
      <c r="K16" s="661">
        <v>25</v>
      </c>
      <c r="L16" s="646" t="s">
        <v>1005</v>
      </c>
      <c r="M16" s="632"/>
      <c r="N16" s="15"/>
      <c r="O16" s="1"/>
      <c r="P16" s="1"/>
      <c r="Q16" s="1"/>
      <c r="R16" s="1"/>
      <c r="S16" s="1"/>
      <c r="T16" s="1"/>
      <c r="U16" s="16"/>
    </row>
    <row r="17" spans="1:21" x14ac:dyDescent="0.25">
      <c r="A17" s="629"/>
      <c r="B17" s="657"/>
      <c r="C17" s="657"/>
      <c r="D17" s="1021"/>
      <c r="E17" s="1021"/>
      <c r="F17" s="1021"/>
      <c r="G17" s="1021"/>
      <c r="H17" s="658"/>
      <c r="I17" s="660" t="str">
        <f>Texte_Sprachen!B41</f>
        <v>Ciężar własny betonu</v>
      </c>
      <c r="J17" s="660"/>
      <c r="K17" s="664">
        <f>SUM(Lastermittlung_Lauf!C37:C39,Lastermittlung_Lauf!C41:C42)</f>
        <v>44.715757523534919</v>
      </c>
      <c r="L17" s="646" t="s">
        <v>1004</v>
      </c>
      <c r="M17" s="632"/>
      <c r="N17" s="15"/>
      <c r="O17" s="1"/>
      <c r="P17" s="1"/>
      <c r="Q17" s="1"/>
      <c r="R17" s="1"/>
      <c r="S17" s="1"/>
      <c r="T17" s="1"/>
      <c r="U17" s="16"/>
    </row>
    <row r="18" spans="1:21" ht="15" customHeight="1" x14ac:dyDescent="0.25">
      <c r="A18" s="629"/>
      <c r="B18" s="655" t="s">
        <v>186</v>
      </c>
      <c r="C18" s="645" t="str">
        <f>Texte_Sprachen!B23</f>
        <v>Geometria</v>
      </c>
      <c r="D18" s="663"/>
      <c r="E18" s="652"/>
      <c r="F18" s="652"/>
      <c r="G18" s="652"/>
      <c r="H18" s="656"/>
      <c r="I18" s="660"/>
      <c r="J18" s="666"/>
      <c r="K18" s="664"/>
      <c r="L18" s="646"/>
      <c r="M18" s="632"/>
      <c r="N18" s="15"/>
      <c r="O18" s="1"/>
      <c r="P18" s="1"/>
      <c r="Q18" s="1"/>
      <c r="R18" s="1"/>
      <c r="S18" s="1"/>
      <c r="T18" s="1"/>
      <c r="U18" s="16"/>
    </row>
    <row r="19" spans="1:21" ht="15" customHeight="1" x14ac:dyDescent="0.25">
      <c r="A19" s="629"/>
      <c r="B19" s="655"/>
      <c r="C19" s="657" t="str">
        <f>Texte_Sprachen!B24</f>
        <v>Długość biegu</v>
      </c>
      <c r="D19" s="662" t="s">
        <v>187</v>
      </c>
      <c r="E19" s="665">
        <f>SQRT((E20^2)+(E21^2))</f>
        <v>512.83135629561502</v>
      </c>
      <c r="F19" s="652" t="s">
        <v>188</v>
      </c>
      <c r="G19" s="652"/>
      <c r="H19" s="656"/>
      <c r="I19" s="660"/>
      <c r="J19" s="666"/>
      <c r="K19" s="664"/>
      <c r="L19" s="646"/>
      <c r="M19" s="632"/>
      <c r="N19" s="15"/>
      <c r="O19" s="1"/>
      <c r="P19" s="1"/>
      <c r="Q19" s="1"/>
      <c r="R19" s="1"/>
      <c r="S19" s="1"/>
      <c r="T19" s="1"/>
      <c r="U19" s="16"/>
    </row>
    <row r="20" spans="1:21" ht="15.75" x14ac:dyDescent="0.25">
      <c r="A20" s="629"/>
      <c r="B20" s="651"/>
      <c r="C20" s="657" t="str">
        <f>Texte_Sprachen!B25</f>
        <v>Długość biegu poz.</v>
      </c>
      <c r="D20" s="662" t="s">
        <v>189</v>
      </c>
      <c r="E20" s="665">
        <f>Lastermittlung_Lauf!C20</f>
        <v>436</v>
      </c>
      <c r="F20" s="667" t="s">
        <v>188</v>
      </c>
      <c r="G20" s="646"/>
      <c r="H20" s="652"/>
      <c r="I20" s="652"/>
      <c r="J20" s="652"/>
      <c r="K20" s="654"/>
      <c r="L20" s="654"/>
      <c r="M20" s="635"/>
      <c r="N20" s="15"/>
      <c r="O20" s="1"/>
      <c r="P20" s="1"/>
      <c r="Q20" s="1"/>
      <c r="R20" s="1"/>
      <c r="S20" s="1"/>
      <c r="T20" s="1"/>
      <c r="U20" s="16"/>
    </row>
    <row r="21" spans="1:21" ht="15.75" x14ac:dyDescent="0.25">
      <c r="A21" s="629"/>
      <c r="B21" s="652"/>
      <c r="C21" s="657" t="str">
        <f>Texte_Sprachen!B26</f>
        <v>Długość biegu pion.</v>
      </c>
      <c r="D21" s="662" t="s">
        <v>190</v>
      </c>
      <c r="E21" s="665">
        <f>Lastermittlung_Lauf!C21</f>
        <v>270</v>
      </c>
      <c r="F21" s="667" t="s">
        <v>188</v>
      </c>
      <c r="G21" s="658"/>
      <c r="H21" s="655" t="s">
        <v>191</v>
      </c>
      <c r="I21" s="645" t="str">
        <f>Texte_Sprachen!B43</f>
        <v>Produkt</v>
      </c>
      <c r="J21" s="656"/>
      <c r="K21" s="651"/>
      <c r="L21" s="668"/>
      <c r="M21" s="669"/>
      <c r="N21" s="15"/>
      <c r="O21" s="1"/>
      <c r="P21" s="1"/>
      <c r="Q21" s="1"/>
      <c r="R21" s="1"/>
      <c r="S21" s="1"/>
      <c r="T21" s="1"/>
      <c r="U21" s="16"/>
    </row>
    <row r="22" spans="1:21" x14ac:dyDescent="0.25">
      <c r="A22" s="629"/>
      <c r="B22" s="652"/>
      <c r="C22" s="657" t="str">
        <f>Texte_Sprachen!B27</f>
        <v>Ilość stopni</v>
      </c>
      <c r="D22" s="662" t="s">
        <v>192</v>
      </c>
      <c r="E22" s="670">
        <v>14</v>
      </c>
      <c r="F22" s="667"/>
      <c r="G22" s="658"/>
      <c r="H22" s="671"/>
      <c r="I22" s="672" t="str">
        <f>Texte_Sprachen!B46</f>
        <v>Podparcie na dole</v>
      </c>
      <c r="J22" s="673"/>
      <c r="K22" s="672"/>
      <c r="L22" s="674" t="s">
        <v>11</v>
      </c>
      <c r="M22" s="675"/>
      <c r="N22" s="15"/>
      <c r="O22" s="1"/>
      <c r="P22" s="1"/>
      <c r="Q22" s="1"/>
      <c r="R22" s="1"/>
      <c r="S22" s="1"/>
      <c r="T22" s="1"/>
      <c r="U22" s="16"/>
    </row>
    <row r="23" spans="1:21" ht="15.75" x14ac:dyDescent="0.25">
      <c r="A23" s="629"/>
      <c r="B23" s="652"/>
      <c r="C23" s="657" t="str">
        <f>Texte_Sprachen!B28</f>
        <v>Szerokość stopnia</v>
      </c>
      <c r="D23" s="662" t="s">
        <v>193</v>
      </c>
      <c r="E23" s="676">
        <v>28</v>
      </c>
      <c r="F23" s="667" t="s">
        <v>188</v>
      </c>
      <c r="G23" s="631"/>
      <c r="H23" s="677"/>
      <c r="I23" s="657" t="str">
        <f>Texte_Sprachen!B47</f>
        <v>Wys. konsoli na dole</v>
      </c>
      <c r="J23" s="658"/>
      <c r="K23" s="662" t="s">
        <v>194</v>
      </c>
      <c r="L23" s="670">
        <v>15</v>
      </c>
      <c r="M23" s="678" t="s">
        <v>188</v>
      </c>
      <c r="N23" s="15"/>
      <c r="O23" s="1"/>
      <c r="P23" s="1"/>
      <c r="Q23" s="1"/>
      <c r="R23" s="1"/>
      <c r="S23" s="1"/>
      <c r="T23" s="1"/>
      <c r="U23" s="16"/>
    </row>
    <row r="24" spans="1:21" ht="15.75" x14ac:dyDescent="0.25">
      <c r="A24" s="629"/>
      <c r="B24" s="652"/>
      <c r="C24" s="657" t="str">
        <f>Texte_Sprachen!B29</f>
        <v>Wysokość stopnia</v>
      </c>
      <c r="D24" s="662" t="s">
        <v>195</v>
      </c>
      <c r="E24" s="676">
        <v>17.5</v>
      </c>
      <c r="F24" s="667" t="s">
        <v>188</v>
      </c>
      <c r="G24" s="631"/>
      <c r="H24" s="677"/>
      <c r="I24" s="657" t="str">
        <f>Texte_Sprachen!B48</f>
        <v>Dł. konsoli na dole</v>
      </c>
      <c r="J24" s="658"/>
      <c r="K24" s="662" t="s">
        <v>196</v>
      </c>
      <c r="L24" s="670">
        <v>14</v>
      </c>
      <c r="M24" s="678" t="s">
        <v>188</v>
      </c>
      <c r="N24" s="15"/>
      <c r="O24" s="1"/>
      <c r="P24" s="1"/>
      <c r="Q24" s="1"/>
      <c r="R24" s="1"/>
      <c r="S24" s="1"/>
      <c r="T24" s="1"/>
      <c r="U24" s="16"/>
    </row>
    <row r="25" spans="1:21" ht="15.75" x14ac:dyDescent="0.25">
      <c r="A25" s="629"/>
      <c r="B25" s="652"/>
      <c r="C25" s="657" t="str">
        <f>Texte_Sprachen!B30</f>
        <v>Grubość biegu</v>
      </c>
      <c r="D25" s="662" t="s">
        <v>197</v>
      </c>
      <c r="E25" s="676">
        <v>20</v>
      </c>
      <c r="F25" s="667" t="s">
        <v>188</v>
      </c>
      <c r="G25" s="631"/>
      <c r="H25" s="679"/>
      <c r="I25" s="680" t="str">
        <f>IF(OR(L22="Typ P",L22="Typ Z"),Texte_Sprachen!B49,"")</f>
        <v/>
      </c>
      <c r="J25" s="681"/>
      <c r="K25" s="682" t="s">
        <v>198</v>
      </c>
      <c r="L25" s="676">
        <v>1.5</v>
      </c>
      <c r="M25" s="683" t="s">
        <v>188</v>
      </c>
      <c r="N25" s="15"/>
      <c r="O25" s="1"/>
      <c r="P25" s="1"/>
      <c r="Q25" s="1"/>
      <c r="R25" s="1"/>
      <c r="S25" s="1"/>
      <c r="T25" s="1"/>
      <c r="U25" s="16"/>
    </row>
    <row r="26" spans="1:21" x14ac:dyDescent="0.25">
      <c r="A26" s="629"/>
      <c r="B26" s="652"/>
      <c r="C26" s="657" t="str">
        <f>Texte_Sprachen!B31</f>
        <v>Szerokość biegu</v>
      </c>
      <c r="D26" s="662" t="s">
        <v>199</v>
      </c>
      <c r="E26" s="676">
        <v>130</v>
      </c>
      <c r="F26" s="667" t="s">
        <v>188</v>
      </c>
      <c r="G26" s="631"/>
      <c r="H26" s="671"/>
      <c r="I26" s="672" t="str">
        <f>Texte_Sprachen!B50</f>
        <v>Podparcie na górze</v>
      </c>
      <c r="J26" s="672"/>
      <c r="K26" s="672"/>
      <c r="L26" s="674" t="s">
        <v>11</v>
      </c>
      <c r="M26" s="675"/>
      <c r="N26" s="15"/>
      <c r="O26" s="1"/>
      <c r="P26" s="1"/>
      <c r="Q26" s="1"/>
      <c r="R26" s="1"/>
      <c r="S26" s="1"/>
      <c r="T26" s="1"/>
      <c r="U26" s="16"/>
    </row>
    <row r="27" spans="1:21" ht="15.75" x14ac:dyDescent="0.25">
      <c r="A27" s="629"/>
      <c r="B27" s="652"/>
      <c r="C27" s="657" t="str">
        <f>Texte_Sprachen!B32</f>
        <v>Wysokość na dole</v>
      </c>
      <c r="D27" s="662" t="s">
        <v>200</v>
      </c>
      <c r="E27" s="676">
        <v>25</v>
      </c>
      <c r="F27" s="667" t="s">
        <v>188</v>
      </c>
      <c r="G27" s="631"/>
      <c r="H27" s="677"/>
      <c r="I27" s="657" t="str">
        <f>Texte_Sprachen!B51</f>
        <v>Wys. konsoli na górze</v>
      </c>
      <c r="J27" s="660"/>
      <c r="K27" s="662" t="s">
        <v>201</v>
      </c>
      <c r="L27" s="670">
        <v>15</v>
      </c>
      <c r="M27" s="678" t="s">
        <v>188</v>
      </c>
      <c r="N27" s="15"/>
      <c r="O27" s="1"/>
      <c r="P27" s="1"/>
      <c r="Q27" s="1"/>
      <c r="R27" s="1"/>
      <c r="S27" s="1"/>
      <c r="T27" s="1"/>
      <c r="U27" s="16"/>
    </row>
    <row r="28" spans="1:21" ht="15.75" x14ac:dyDescent="0.25">
      <c r="A28" s="629"/>
      <c r="B28" s="652"/>
      <c r="C28" s="657" t="str">
        <f>Texte_Sprachen!B33</f>
        <v>Długość na dole</v>
      </c>
      <c r="D28" s="662" t="s">
        <v>202</v>
      </c>
      <c r="E28" s="676">
        <v>22</v>
      </c>
      <c r="F28" s="667" t="s">
        <v>188</v>
      </c>
      <c r="G28" s="631"/>
      <c r="H28" s="677"/>
      <c r="I28" s="657" t="str">
        <f>Texte_Sprachen!B52</f>
        <v>Dł. konsoli na górze</v>
      </c>
      <c r="J28" s="660"/>
      <c r="K28" s="662" t="s">
        <v>203</v>
      </c>
      <c r="L28" s="670">
        <v>13</v>
      </c>
      <c r="M28" s="678" t="s">
        <v>188</v>
      </c>
      <c r="N28" s="15"/>
      <c r="O28" s="1"/>
      <c r="P28" s="1"/>
      <c r="Q28" s="1"/>
      <c r="R28" s="1"/>
      <c r="S28" s="1"/>
      <c r="T28" s="1"/>
      <c r="U28" s="16"/>
    </row>
    <row r="29" spans="1:21" ht="15.75" x14ac:dyDescent="0.25">
      <c r="A29" s="629"/>
      <c r="B29" s="652"/>
      <c r="C29" s="657" t="str">
        <f>Texte_Sprachen!B34</f>
        <v>Wysokość na górze</v>
      </c>
      <c r="D29" s="662" t="s">
        <v>204</v>
      </c>
      <c r="E29" s="676">
        <v>25</v>
      </c>
      <c r="F29" s="667" t="s">
        <v>188</v>
      </c>
      <c r="G29" s="631"/>
      <c r="H29" s="679"/>
      <c r="I29" s="680" t="str">
        <f>IF(OR(L26="Typ P",L26="Typ Z"),Texte_Sprachen!B53,"")</f>
        <v/>
      </c>
      <c r="J29" s="684"/>
      <c r="K29" s="682" t="s">
        <v>205</v>
      </c>
      <c r="L29" s="676">
        <v>1.5</v>
      </c>
      <c r="M29" s="685" t="s">
        <v>188</v>
      </c>
      <c r="N29" s="15"/>
      <c r="O29" s="1"/>
      <c r="P29" s="1"/>
      <c r="Q29" s="1"/>
      <c r="R29" s="1"/>
      <c r="S29" s="1"/>
      <c r="T29" s="1"/>
      <c r="U29" s="16"/>
    </row>
    <row r="30" spans="1:21" ht="15.75" x14ac:dyDescent="0.25">
      <c r="A30" s="629"/>
      <c r="B30" s="652"/>
      <c r="C30" s="657" t="str">
        <f>Texte_Sprachen!B35</f>
        <v>Długość na górze</v>
      </c>
      <c r="D30" s="662" t="s">
        <v>206</v>
      </c>
      <c r="E30" s="686">
        <v>50</v>
      </c>
      <c r="F30" s="667" t="s">
        <v>188</v>
      </c>
      <c r="G30" s="631"/>
      <c r="H30" s="631"/>
      <c r="I30" s="631"/>
      <c r="J30" s="631"/>
      <c r="K30" s="631"/>
      <c r="L30" s="918"/>
      <c r="M30" s="632"/>
      <c r="N30" s="15"/>
      <c r="O30" s="1"/>
      <c r="P30" s="1"/>
      <c r="Q30" s="1"/>
      <c r="R30" s="1"/>
      <c r="S30" s="1"/>
      <c r="T30" s="1"/>
      <c r="U30" s="16"/>
    </row>
    <row r="31" spans="1:21" ht="9.9499999999999993" customHeight="1" x14ac:dyDescent="0.25">
      <c r="A31" s="687"/>
      <c r="B31" s="688"/>
      <c r="C31" s="688"/>
      <c r="D31" s="688"/>
      <c r="E31" s="688"/>
      <c r="F31" s="688"/>
      <c r="G31" s="688"/>
      <c r="H31" s="689"/>
      <c r="I31" s="690"/>
      <c r="J31" s="690"/>
      <c r="K31" s="691"/>
      <c r="L31" s="691"/>
      <c r="M31" s="692"/>
      <c r="N31" s="15"/>
      <c r="O31" s="1"/>
      <c r="P31" s="1"/>
      <c r="Q31" s="1"/>
      <c r="R31" s="1"/>
      <c r="S31" s="1"/>
      <c r="T31" s="1"/>
      <c r="U31" s="16"/>
    </row>
    <row r="32" spans="1:21" ht="9.9499999999999993" customHeight="1" x14ac:dyDescent="0.25">
      <c r="A32" s="629"/>
      <c r="B32" s="652"/>
      <c r="C32" s="657"/>
      <c r="D32" s="657"/>
      <c r="E32" s="693"/>
      <c r="F32" s="658"/>
      <c r="G32" s="631"/>
      <c r="H32" s="658"/>
      <c r="I32" s="663"/>
      <c r="J32" s="663"/>
      <c r="K32" s="694"/>
      <c r="L32" s="668"/>
      <c r="M32" s="669"/>
      <c r="N32" s="12"/>
      <c r="O32" s="13"/>
      <c r="P32" s="13"/>
      <c r="Q32" s="13"/>
      <c r="R32" s="13"/>
      <c r="S32" s="13"/>
      <c r="T32" s="13"/>
      <c r="U32" s="14"/>
    </row>
    <row r="33" spans="1:21" x14ac:dyDescent="0.25">
      <c r="A33" s="629"/>
      <c r="B33" s="655" t="s">
        <v>207</v>
      </c>
      <c r="C33" s="645" t="str">
        <f>Texte_Sprachen!B76</f>
        <v>Reakcje podporowe</v>
      </c>
      <c r="D33" s="652"/>
      <c r="E33" s="657"/>
      <c r="F33" s="668"/>
      <c r="G33" s="658"/>
      <c r="H33" s="658"/>
      <c r="I33" s="663"/>
      <c r="J33" s="663"/>
      <c r="K33" s="694"/>
      <c r="L33" s="668"/>
      <c r="M33" s="669"/>
      <c r="N33" s="869" t="str">
        <f>IF(O34&lt;&gt;"","!!","")</f>
        <v/>
      </c>
      <c r="O33" s="870" t="str">
        <f>IF(O34&lt;&gt;"",Texte_Sprachen!B137,"")</f>
        <v/>
      </c>
      <c r="P33" s="871"/>
      <c r="Q33" s="871"/>
      <c r="R33" s="863"/>
      <c r="S33" s="863"/>
      <c r="T33" s="863"/>
      <c r="U33" s="864"/>
    </row>
    <row r="34" spans="1:21" x14ac:dyDescent="0.25">
      <c r="A34" s="629"/>
      <c r="B34" s="655" t="s">
        <v>208</v>
      </c>
      <c r="C34" s="645" t="str">
        <f>Texte_Sprachen!B105</f>
        <v>Obciążenia stałe</v>
      </c>
      <c r="D34" s="652"/>
      <c r="E34" s="695"/>
      <c r="F34" s="668"/>
      <c r="G34" s="698"/>
      <c r="H34" s="698"/>
      <c r="I34" s="821"/>
      <c r="J34" s="821"/>
      <c r="K34" s="822"/>
      <c r="L34" s="823"/>
      <c r="M34" s="685"/>
      <c r="N34" s="868">
        <v>1</v>
      </c>
      <c r="O34" s="863" t="str">
        <f>_xlfn.XLOOKUP(N34,Fehlersuche!D3:D14,Fehlersuche!C3:C14,"",0,1)</f>
        <v/>
      </c>
      <c r="P34" s="863"/>
      <c r="Q34" s="863"/>
      <c r="R34" s="863"/>
      <c r="S34" s="863"/>
      <c r="T34" s="863"/>
      <c r="U34" s="864"/>
    </row>
    <row r="35" spans="1:21" x14ac:dyDescent="0.25">
      <c r="A35" s="1000" t="s">
        <v>209</v>
      </c>
      <c r="B35" s="1001"/>
      <c r="C35" s="672" t="str">
        <f>Texte_Sprachen!B77</f>
        <v>Obciążenie całkowite</v>
      </c>
      <c r="D35" s="672"/>
      <c r="E35" s="696">
        <f>Lastermittlung_Lauf!C43</f>
        <v>56.051757523534917</v>
      </c>
      <c r="F35" s="672" t="s">
        <v>185</v>
      </c>
      <c r="G35" s="631"/>
      <c r="H35" s="658"/>
      <c r="I35" s="652"/>
      <c r="J35" s="652"/>
      <c r="K35" s="652"/>
      <c r="L35" s="652"/>
      <c r="M35" s="635"/>
      <c r="N35" s="868">
        <v>2</v>
      </c>
      <c r="O35" s="863" t="str">
        <f>_xlfn.XLOOKUP(N35,Fehlersuche!D4:D15,Fehlersuche!C4:C15,"",0,1)</f>
        <v/>
      </c>
      <c r="P35" s="863"/>
      <c r="Q35" s="863"/>
      <c r="R35" s="863"/>
      <c r="S35" s="863"/>
      <c r="T35" s="863"/>
      <c r="U35" s="864"/>
    </row>
    <row r="36" spans="1:21" x14ac:dyDescent="0.25">
      <c r="A36" s="1002"/>
      <c r="B36" s="1003"/>
      <c r="C36" s="658" t="str">
        <f>Texte_Sprachen!B78</f>
        <v>Reakcja na podporze, dół</v>
      </c>
      <c r="D36" s="658"/>
      <c r="E36" s="697">
        <f>Lastermittlung_Lauf!C60</f>
        <v>28.050585099826225</v>
      </c>
      <c r="F36" s="658" t="s">
        <v>185</v>
      </c>
      <c r="G36" s="631"/>
      <c r="H36" s="658"/>
      <c r="I36" s="652"/>
      <c r="J36" s="652"/>
      <c r="K36" s="652"/>
      <c r="L36" s="652"/>
      <c r="M36" s="635"/>
      <c r="N36" s="868">
        <v>3</v>
      </c>
      <c r="O36" s="863" t="str">
        <f>_xlfn.XLOOKUP(N36,Fehlersuche!D5:D16,Fehlersuche!C5:C16,"",0,1)</f>
        <v/>
      </c>
      <c r="P36" s="863"/>
      <c r="Q36" s="863"/>
      <c r="R36" s="863"/>
      <c r="S36" s="863"/>
      <c r="T36" s="863"/>
      <c r="U36" s="864"/>
    </row>
    <row r="37" spans="1:21" x14ac:dyDescent="0.25">
      <c r="A37" s="1004"/>
      <c r="B37" s="1005"/>
      <c r="C37" s="698" t="str">
        <f>Texte_Sprachen!B79</f>
        <v>Reakcja na podporze, góra</v>
      </c>
      <c r="D37" s="698"/>
      <c r="E37" s="699">
        <f>Lastermittlung_Lauf!C61</f>
        <v>28.001172423708692</v>
      </c>
      <c r="F37" s="698" t="s">
        <v>185</v>
      </c>
      <c r="G37" s="825"/>
      <c r="H37" s="698"/>
      <c r="I37" s="819"/>
      <c r="J37" s="819"/>
      <c r="K37" s="819"/>
      <c r="L37" s="819"/>
      <c r="M37" s="820"/>
      <c r="N37" s="868">
        <v>4</v>
      </c>
      <c r="O37" s="863" t="str">
        <f>_xlfn.XLOOKUP(N37,Fehlersuche!D6:D17,Fehlersuche!C6:C17,"",0,1)</f>
        <v/>
      </c>
      <c r="P37" s="863"/>
      <c r="Q37" s="863"/>
      <c r="R37" s="863"/>
      <c r="S37" s="863"/>
      <c r="T37" s="863"/>
      <c r="U37" s="864"/>
    </row>
    <row r="38" spans="1:21" x14ac:dyDescent="0.25">
      <c r="A38" s="629"/>
      <c r="B38" s="652"/>
      <c r="C38" s="658"/>
      <c r="D38" s="658"/>
      <c r="E38" s="697"/>
      <c r="F38" s="658"/>
      <c r="G38" s="658"/>
      <c r="H38" s="658"/>
      <c r="I38" s="658"/>
      <c r="J38" s="658"/>
      <c r="K38" s="658"/>
      <c r="L38" s="646"/>
      <c r="M38" s="635"/>
      <c r="N38" s="868">
        <v>5</v>
      </c>
      <c r="O38" s="863" t="str">
        <f>_xlfn.XLOOKUP(N38,Fehlersuche!D7:D18,Fehlersuche!C7:C18,"",0,1)</f>
        <v/>
      </c>
      <c r="P38" s="863"/>
      <c r="Q38" s="863"/>
      <c r="R38" s="863"/>
      <c r="S38" s="863"/>
      <c r="T38" s="863"/>
      <c r="U38" s="864"/>
    </row>
    <row r="39" spans="1:21" x14ac:dyDescent="0.25">
      <c r="A39" s="629"/>
      <c r="B39" s="655" t="s">
        <v>210</v>
      </c>
      <c r="C39" s="700" t="str">
        <f>Texte_Sprachen!B106</f>
        <v>Obiciążenia całkowite (stałe + zmienne)</v>
      </c>
      <c r="D39" s="658"/>
      <c r="E39" s="697"/>
      <c r="F39" s="658"/>
      <c r="G39" s="698"/>
      <c r="H39" s="698"/>
      <c r="I39" s="698"/>
      <c r="J39" s="698"/>
      <c r="K39" s="698"/>
      <c r="L39" s="824"/>
      <c r="M39" s="820"/>
      <c r="N39" s="868">
        <v>6</v>
      </c>
      <c r="O39" s="863" t="str">
        <f>_xlfn.XLOOKUP(N39,Fehlersuche!D8:D20,Fehlersuche!C8:C20,"",0,1)</f>
        <v/>
      </c>
      <c r="P39" s="863"/>
      <c r="Q39" s="863"/>
      <c r="R39" s="863"/>
      <c r="S39" s="863"/>
      <c r="T39" s="863"/>
      <c r="U39" s="864"/>
    </row>
    <row r="40" spans="1:21" x14ac:dyDescent="0.25">
      <c r="A40" s="1006" t="s">
        <v>211</v>
      </c>
      <c r="B40" s="1007"/>
      <c r="C40" s="672" t="str">
        <f>Texte_Sprachen!B77</f>
        <v>Obciążenie całkowite</v>
      </c>
      <c r="D40" s="672"/>
      <c r="E40" s="696">
        <f>Lastermittlung_Lauf!F45</f>
        <v>118.17987265677215</v>
      </c>
      <c r="F40" s="672" t="s">
        <v>185</v>
      </c>
      <c r="G40" s="658"/>
      <c r="H40" s="658"/>
      <c r="I40" s="658"/>
      <c r="J40" s="658"/>
      <c r="K40" s="658"/>
      <c r="L40" s="646"/>
      <c r="M40" s="635"/>
      <c r="N40" s="868">
        <v>7</v>
      </c>
      <c r="O40" s="863" t="str">
        <f>_xlfn.XLOOKUP(N40,Fehlersuche!D9:D21,Fehlersuche!C9:C21,"",0,1)</f>
        <v/>
      </c>
      <c r="P40" s="863"/>
      <c r="Q40" s="863"/>
      <c r="R40" s="863"/>
      <c r="S40" s="863"/>
      <c r="T40" s="863"/>
      <c r="U40" s="864"/>
    </row>
    <row r="41" spans="1:21" x14ac:dyDescent="0.25">
      <c r="A41" s="1008"/>
      <c r="B41" s="1009"/>
      <c r="C41" s="658" t="str">
        <f>Texte_Sprachen!B78</f>
        <v>Reakcja na podporze, dół</v>
      </c>
      <c r="D41" s="658"/>
      <c r="E41" s="697">
        <f>Lastermittlung_Lauf!C57</f>
        <v>59.123289884765398</v>
      </c>
      <c r="F41" s="658" t="s">
        <v>185</v>
      </c>
      <c r="G41" s="1018" t="str">
        <f>IF(L26="Typ F",Texte_Sprachen!B80,"")</f>
        <v>Min. wysokość konsoli na dole</v>
      </c>
      <c r="H41" s="1018"/>
      <c r="I41" s="1018"/>
      <c r="J41" s="1018"/>
      <c r="K41" s="1018"/>
      <c r="L41" s="646" t="str">
        <f>IF(L26="Typ F",Berechnung_TR_Lauf!L51&amp;" "&amp;Berechnung_TR_Lauf!R51&amp;"mm)","")</f>
        <v>100 mm)</v>
      </c>
      <c r="M41" s="635"/>
      <c r="N41" s="868">
        <v>8</v>
      </c>
      <c r="O41" s="863" t="str">
        <f>_xlfn.XLOOKUP(N41,Fehlersuche!D10:D22,Fehlersuche!C10:C22,"",0,1)</f>
        <v/>
      </c>
      <c r="P41" s="863"/>
      <c r="Q41" s="863"/>
      <c r="R41" s="863"/>
      <c r="S41" s="863"/>
      <c r="T41" s="863"/>
      <c r="U41" s="864"/>
    </row>
    <row r="42" spans="1:21" x14ac:dyDescent="0.25">
      <c r="A42" s="1010"/>
      <c r="B42" s="1011"/>
      <c r="C42" s="698" t="str">
        <f>Texte_Sprachen!B79</f>
        <v>Reakcja na podporze, góra</v>
      </c>
      <c r="D42" s="698"/>
      <c r="E42" s="699">
        <f>Lastermittlung_Lauf!C58</f>
        <v>59.056582772006749</v>
      </c>
      <c r="F42" s="698" t="s">
        <v>185</v>
      </c>
      <c r="G42" s="1019" t="str">
        <f>IF(L22="Typ F",Texte_Sprachen!B81,"")</f>
        <v>Min. wysokość konsoli na górze</v>
      </c>
      <c r="H42" s="1019"/>
      <c r="I42" s="1019"/>
      <c r="J42" s="1019"/>
      <c r="K42" s="1019"/>
      <c r="L42" s="824" t="str">
        <f>IF(L22="Typ F",Berechnung_TR_Lauf!L53&amp;" "&amp;Berechnung_TR_Lauf!R53&amp;"mm)","")</f>
        <v>100 mm)</v>
      </c>
      <c r="M42" s="820"/>
      <c r="N42" s="868">
        <v>9</v>
      </c>
      <c r="O42" s="863" t="str">
        <f>_xlfn.XLOOKUP(N42,Fehlersuche!D11:D23,Fehlersuche!C11:C23,"",0,1)</f>
        <v/>
      </c>
      <c r="P42" s="863"/>
      <c r="Q42" s="863"/>
      <c r="R42" s="863"/>
      <c r="S42" s="863"/>
      <c r="T42" s="863"/>
      <c r="U42" s="864"/>
    </row>
    <row r="43" spans="1:21" ht="9.9499999999999993" customHeight="1" x14ac:dyDescent="0.25">
      <c r="A43" s="687"/>
      <c r="B43" s="701"/>
      <c r="C43" s="701"/>
      <c r="D43" s="701"/>
      <c r="E43" s="702"/>
      <c r="F43" s="703"/>
      <c r="G43" s="689"/>
      <c r="H43" s="689"/>
      <c r="I43" s="690"/>
      <c r="J43" s="690"/>
      <c r="K43" s="691"/>
      <c r="L43" s="703"/>
      <c r="M43" s="692"/>
      <c r="N43" s="865"/>
      <c r="O43" s="866"/>
      <c r="P43" s="866"/>
      <c r="Q43" s="866"/>
      <c r="R43" s="866"/>
      <c r="S43" s="866"/>
      <c r="T43" s="866"/>
      <c r="U43" s="867"/>
    </row>
    <row r="44" spans="1:21" ht="9.9499999999999993" customHeight="1" x14ac:dyDescent="0.25">
      <c r="A44" s="704"/>
      <c r="B44" s="705"/>
      <c r="C44" s="705"/>
      <c r="D44" s="705"/>
      <c r="E44" s="706"/>
      <c r="F44" s="707"/>
      <c r="G44" s="708"/>
      <c r="H44" s="708"/>
      <c r="I44" s="709"/>
      <c r="J44" s="709"/>
      <c r="K44" s="710"/>
      <c r="L44" s="707"/>
      <c r="M44" s="649"/>
      <c r="N44" s="12"/>
      <c r="O44" s="13"/>
      <c r="P44" s="13"/>
      <c r="Q44" s="13"/>
      <c r="R44" s="13"/>
      <c r="S44" s="13"/>
      <c r="T44" s="13"/>
      <c r="U44" s="14"/>
    </row>
    <row r="45" spans="1:21" x14ac:dyDescent="0.25">
      <c r="A45" s="629"/>
      <c r="B45" s="711" t="s">
        <v>212</v>
      </c>
      <c r="C45" s="645" t="str">
        <f>Texte_Sprachen!B82</f>
        <v>Podsumowanie</v>
      </c>
      <c r="D45" s="652"/>
      <c r="E45" s="652"/>
      <c r="F45" s="652"/>
      <c r="G45" s="652"/>
      <c r="H45" s="652"/>
      <c r="I45" s="652"/>
      <c r="J45" s="652"/>
      <c r="K45" s="652"/>
      <c r="L45" s="652"/>
      <c r="M45" s="635"/>
      <c r="N45" s="936" t="str">
        <f>IF(O46&lt;&gt;"","!!","")</f>
        <v/>
      </c>
      <c r="O45" s="937" t="str">
        <f>IF(O46&lt;&gt;"",Texte_Sprachen!B138,"")</f>
        <v/>
      </c>
      <c r="P45" s="938"/>
      <c r="Q45" s="938"/>
      <c r="R45" s="938"/>
      <c r="S45" s="938"/>
      <c r="T45" s="938"/>
      <c r="U45" s="16"/>
    </row>
    <row r="46" spans="1:21" ht="15" customHeight="1" x14ac:dyDescent="0.25">
      <c r="A46" s="629"/>
      <c r="B46" s="652"/>
      <c r="C46" s="651" t="str">
        <f>Texte_Sprachen!B83</f>
        <v>Podparcie na dole</v>
      </c>
      <c r="D46" s="651"/>
      <c r="E46" s="657"/>
      <c r="F46" s="668"/>
      <c r="G46" s="658"/>
      <c r="H46" s="658"/>
      <c r="I46" s="652"/>
      <c r="J46" s="712"/>
      <c r="K46" s="712"/>
      <c r="L46" s="712"/>
      <c r="M46" s="713"/>
      <c r="N46" s="939">
        <v>1</v>
      </c>
      <c r="O46" s="999" t="str" cm="1">
        <f t="array" ref="O46">_xlfn.XLOOKUP(N46,Fehlersuche!$D$29:D29,Fehlersuche!$C$29:C29,"",0,1)</f>
        <v/>
      </c>
      <c r="P46" s="999"/>
      <c r="Q46" s="999"/>
      <c r="R46" s="999"/>
      <c r="S46" s="999"/>
      <c r="T46" s="999"/>
      <c r="U46" s="16"/>
    </row>
    <row r="47" spans="1:21" x14ac:dyDescent="0.25">
      <c r="A47" s="629"/>
      <c r="B47" s="652"/>
      <c r="C47" s="652" t="str">
        <f>Texte_Sprachen!B87</f>
        <v>Tronsole typu:</v>
      </c>
      <c r="D47" s="656" t="str">
        <f>IF(OR(L22="Typ Z",L22="Typ P"),"2x ",IF(OR(L22="Typ F",L22="Typ B"),ROUNDUP(E26/150,0)&amp;"x ",IF(L22="Typ T",Berechnung_TR_Lauf!F92&amp;"x ","")))</f>
        <v xml:space="preserve">1x </v>
      </c>
      <c r="E47" s="653" t="str">
        <f>IF(VLOOKUP(L22,Berechnung_TR_Lauf!C132:D136,2,0)&lt;&gt;"???",CONCATENATE(RIGHT(L22,1),"-",VLOOKUP(L22,Berechnung_TR_Lauf!C132:D136,2,0)),VLOOKUP(L22,Berechnung_TR_Lauf!C132:D136,2,0))</f>
        <v>F-V2</v>
      </c>
      <c r="F47" s="668"/>
      <c r="G47" s="658"/>
      <c r="H47" s="658"/>
      <c r="I47" s="1013"/>
      <c r="J47" s="1013"/>
      <c r="K47" s="1013"/>
      <c r="L47" s="1013"/>
      <c r="M47" s="1014"/>
      <c r="N47" s="939">
        <v>2</v>
      </c>
      <c r="O47" s="999"/>
      <c r="P47" s="999"/>
      <c r="Q47" s="999"/>
      <c r="R47" s="999"/>
      <c r="S47" s="999"/>
      <c r="T47" s="999"/>
      <c r="U47" s="16"/>
    </row>
    <row r="48" spans="1:21" x14ac:dyDescent="0.25">
      <c r="A48" s="629"/>
      <c r="B48" s="631"/>
      <c r="C48" s="652"/>
      <c r="D48" s="652"/>
      <c r="E48" s="652"/>
      <c r="F48" s="652"/>
      <c r="G48" s="652"/>
      <c r="H48" s="652"/>
      <c r="I48" s="1013"/>
      <c r="J48" s="1013"/>
      <c r="K48" s="1013"/>
      <c r="L48" s="1013"/>
      <c r="M48" s="1014"/>
      <c r="N48" s="868">
        <v>3</v>
      </c>
      <c r="O48" s="1"/>
      <c r="P48" s="1"/>
      <c r="Q48" s="1"/>
      <c r="R48" s="1"/>
      <c r="S48" s="1"/>
      <c r="T48" s="1"/>
      <c r="U48" s="16"/>
    </row>
    <row r="49" spans="1:21" x14ac:dyDescent="0.25">
      <c r="A49" s="629"/>
      <c r="B49" s="631"/>
      <c r="C49" s="714" t="s">
        <v>213</v>
      </c>
      <c r="D49" s="697">
        <f>IF(OR(L22="Typ Z",L22="Typ P"),E41/2,IF(OR(L22="Typ F",L22="Typ B"),E41/E26*100,IF(L22="Typ T",E41/Berechnung_TR_Lauf!F92,E41)))</f>
        <v>45.479453757511848</v>
      </c>
      <c r="E49" s="652" t="str">
        <f>IF(OR(L22="Typ B",L22="Typ F"),"kN/m",IF(OR(L22="Typ Z",L22="Typ P",L22="Typ T"),"kN/Tronsole","kN"))</f>
        <v>kN/m</v>
      </c>
      <c r="F49" s="715" t="s">
        <v>214</v>
      </c>
      <c r="G49" s="631"/>
      <c r="H49" s="714" t="s">
        <v>215</v>
      </c>
      <c r="I49" s="716">
        <f>IF(OR(L22="Typ B",L22="Typ F"),VLOOKUP('BIEG - DANE'!L22,Berechnung_TR_Lauf!C132:E136,3,0)/E26*100,VLOOKUP('BIEG - DANE'!L22,Berechnung_TR_Lauf!C132:E136,3,0))</f>
        <v>61</v>
      </c>
      <c r="J49" s="697" t="str">
        <f>IF(OR(L22="Typ B",L22="Typ F"),"kN/m",IF(OR(L22="Typ Z",L22="Typ P",L22="Typ T"),"kN/Tronsole","kN"))</f>
        <v>kN/m</v>
      </c>
      <c r="K49" s="717">
        <f>IF(OR(I49=0,L49=""),"-",D49/I49)</f>
        <v>0.74556481569691557</v>
      </c>
      <c r="L49" s="718" t="str">
        <f>IF(D49=0,"",IF(D49&lt;=I49,"ü","û"))</f>
        <v>ü</v>
      </c>
      <c r="M49" s="632"/>
      <c r="N49" s="868">
        <v>4</v>
      </c>
      <c r="O49" s="1"/>
      <c r="P49" s="1"/>
      <c r="Q49" s="1"/>
      <c r="R49" s="1"/>
      <c r="S49" s="1"/>
      <c r="T49" s="1"/>
      <c r="U49" s="16"/>
    </row>
    <row r="50" spans="1:21" x14ac:dyDescent="0.25">
      <c r="A50" s="629"/>
      <c r="B50" s="631"/>
      <c r="C50" s="652" t="str">
        <f>Texte_Sprachen!B88</f>
        <v>Konsola na biegu:</v>
      </c>
      <c r="D50" s="631"/>
      <c r="E50" s="631"/>
      <c r="F50" s="631"/>
      <c r="G50" s="631"/>
      <c r="H50" s="631"/>
      <c r="I50" s="631"/>
      <c r="J50" s="631"/>
      <c r="K50" s="631"/>
      <c r="L50" s="631"/>
      <c r="M50" s="632"/>
      <c r="N50" s="868">
        <v>5</v>
      </c>
      <c r="O50" s="1"/>
      <c r="P50" s="1"/>
      <c r="Q50" s="1"/>
      <c r="R50" s="1"/>
      <c r="S50" s="1"/>
      <c r="T50" s="1"/>
      <c r="U50" s="16"/>
    </row>
    <row r="51" spans="1:21" x14ac:dyDescent="0.25">
      <c r="A51" s="629"/>
      <c r="B51" s="631"/>
      <c r="C51" s="714" t="s">
        <v>213</v>
      </c>
      <c r="D51" s="697">
        <f>D49</f>
        <v>45.479453757511848</v>
      </c>
      <c r="E51" s="652" t="s">
        <v>216</v>
      </c>
      <c r="F51" s="715" t="s">
        <v>214</v>
      </c>
      <c r="G51" s="631"/>
      <c r="H51" s="714" t="s">
        <v>215</v>
      </c>
      <c r="I51" s="716">
        <f>IFERROR(Berechnung_TR_Lauf!F59/E26*100,"-")</f>
        <v>79.700000000000017</v>
      </c>
      <c r="J51" s="697" t="s">
        <v>216</v>
      </c>
      <c r="K51" s="719">
        <f>IF(L22="Typ F",IFERROR(IF(OR(I51=0,L51=""),"-",D51/I51),"-"),0)</f>
        <v>0.57063304589098918</v>
      </c>
      <c r="L51" s="718" t="str">
        <f>IF(D51=0,"",IF(D51&lt;=I51,"ü","û"))</f>
        <v>ü</v>
      </c>
      <c r="M51" s="632"/>
      <c r="N51" s="868">
        <v>6</v>
      </c>
      <c r="O51" s="1"/>
      <c r="P51" s="1"/>
      <c r="Q51" s="1"/>
      <c r="R51" s="1"/>
      <c r="S51" s="1"/>
      <c r="T51" s="1"/>
      <c r="U51" s="16"/>
    </row>
    <row r="52" spans="1:21" x14ac:dyDescent="0.25">
      <c r="A52" s="629"/>
      <c r="B52" s="631"/>
      <c r="C52" s="652"/>
      <c r="D52" s="714"/>
      <c r="E52" s="697"/>
      <c r="F52" s="652"/>
      <c r="G52" s="715"/>
      <c r="H52" s="714"/>
      <c r="I52" s="716"/>
      <c r="J52" s="697"/>
      <c r="K52" s="719"/>
      <c r="L52" s="656"/>
      <c r="M52" s="632"/>
      <c r="N52" s="868">
        <v>7</v>
      </c>
      <c r="O52" s="1"/>
      <c r="P52" s="1"/>
      <c r="Q52" s="1"/>
      <c r="R52" s="1"/>
      <c r="S52" s="1"/>
      <c r="T52" s="1"/>
      <c r="U52" s="16"/>
    </row>
    <row r="53" spans="1:21" x14ac:dyDescent="0.25">
      <c r="A53" s="629"/>
      <c r="B53" s="631"/>
      <c r="C53" s="651" t="str">
        <f>Texte_Sprachen!B84</f>
        <v>Podparcie na górze</v>
      </c>
      <c r="D53" s="651"/>
      <c r="E53" s="657"/>
      <c r="F53" s="668"/>
      <c r="G53" s="658"/>
      <c r="H53" s="658"/>
      <c r="I53" s="663"/>
      <c r="J53" s="663"/>
      <c r="K53" s="694"/>
      <c r="L53" s="668"/>
      <c r="M53" s="632"/>
      <c r="N53" s="868">
        <v>8</v>
      </c>
      <c r="O53" s="1"/>
      <c r="P53" s="1"/>
      <c r="Q53" s="1"/>
      <c r="R53" s="1"/>
      <c r="S53" s="1"/>
      <c r="T53" s="1"/>
      <c r="U53" s="16"/>
    </row>
    <row r="54" spans="1:21" x14ac:dyDescent="0.25">
      <c r="A54" s="629"/>
      <c r="B54" s="631"/>
      <c r="C54" s="652" t="str">
        <f>Texte_Sprachen!B87</f>
        <v>Tronsole typu:</v>
      </c>
      <c r="D54" s="656" t="str">
        <f>IF(OR(L26="Typ Z",L26="Typ P"),"2x ",IF(OR(L26="Typ F",L26="Typ B"),ROUNDUP(E26/150,0)&amp;"x ",IF(L26="Typ T",Berechnung_TR_Lauf!F109&amp;"x ","")))</f>
        <v xml:space="preserve">1x </v>
      </c>
      <c r="E54" s="653" t="str">
        <f>IF(VLOOKUP(L26,Berechnung_TR_Lauf!C138:D141,2,0)&lt;&gt;"???",CONCATENATE(RIGHT(L26,1),"-",VLOOKUP(L26,Berechnung_TR_Lauf!C138:D141,2,0)),VLOOKUP(L26,Berechnung_TR_Lauf!C138:D141,2,0))</f>
        <v>F-V2</v>
      </c>
      <c r="F54" s="668"/>
      <c r="G54" s="658"/>
      <c r="H54" s="658"/>
      <c r="I54" s="1013"/>
      <c r="J54" s="1013"/>
      <c r="K54" s="1013"/>
      <c r="L54" s="1013"/>
      <c r="M54" s="1014"/>
      <c r="N54" s="868">
        <v>9</v>
      </c>
      <c r="O54" s="1"/>
      <c r="P54" s="1"/>
      <c r="Q54" s="1"/>
      <c r="R54" s="1"/>
      <c r="S54" s="1"/>
      <c r="T54" s="1"/>
      <c r="U54" s="16"/>
    </row>
    <row r="55" spans="1:21" x14ac:dyDescent="0.25">
      <c r="A55" s="629"/>
      <c r="B55" s="631"/>
      <c r="C55" s="652"/>
      <c r="D55" s="652"/>
      <c r="E55" s="652"/>
      <c r="F55" s="652"/>
      <c r="G55" s="652"/>
      <c r="H55" s="652"/>
      <c r="I55" s="1013"/>
      <c r="J55" s="1013"/>
      <c r="K55" s="1013"/>
      <c r="L55" s="1013"/>
      <c r="M55" s="1014"/>
      <c r="N55" s="15"/>
      <c r="O55" s="1"/>
      <c r="P55" s="1"/>
      <c r="Q55" s="1"/>
      <c r="R55" s="1"/>
      <c r="S55" s="1"/>
      <c r="T55" s="1"/>
      <c r="U55" s="16"/>
    </row>
    <row r="56" spans="1:21" x14ac:dyDescent="0.25">
      <c r="A56" s="629"/>
      <c r="B56" s="631"/>
      <c r="C56" s="714" t="s">
        <v>213</v>
      </c>
      <c r="D56" s="697">
        <f>IF(OR(L26="Typ Z",L26="Typ P"),E42/2,IF(L26="Typ F",E42/E26*100,IF(L26="Typ T",E42/Berechnung_TR_Lauf!F109,E42)))</f>
        <v>45.428140593851346</v>
      </c>
      <c r="E56" s="652" t="str">
        <f>IF(L26="Typ F","kN/m",IF(OR(L26="Typ Z",L26="Typ P",L26="Typ T"),"kN/Tronsole","kN"))</f>
        <v>kN/m</v>
      </c>
      <c r="F56" s="715" t="s">
        <v>214</v>
      </c>
      <c r="G56" s="631"/>
      <c r="H56" s="714" t="s">
        <v>215</v>
      </c>
      <c r="I56" s="716">
        <f>IF(L26="Typ F",VLOOKUP('BIEG - DANE'!L26,Berechnung_TR_Lauf!C138:E141,3,0)/E26*100,VLOOKUP('BIEG - DANE'!L26,Berechnung_TR_Lauf!C138:E141,3,0))</f>
        <v>61</v>
      </c>
      <c r="J56" s="697" t="str">
        <f>IF(L26="Typ F","kN/m",IF(OR(L26="Typ Z",L26="Typ P",L26="Typ T"),"kN/Tronsole","kN"))</f>
        <v>kN/m</v>
      </c>
      <c r="K56" s="717">
        <f>IF(OR(I56=0,L56=""),"-",D56/I56)</f>
        <v>0.74472361629264505</v>
      </c>
      <c r="L56" s="718" t="str">
        <f>IF(D56=0,"",IF(D56&lt;=I56,"ü","û"))</f>
        <v>ü</v>
      </c>
      <c r="M56" s="632"/>
      <c r="N56" s="15"/>
      <c r="O56" s="1"/>
      <c r="P56" s="1"/>
      <c r="Q56" s="1"/>
      <c r="R56" s="1"/>
      <c r="S56" s="1"/>
      <c r="T56" s="1"/>
      <c r="U56" s="16"/>
    </row>
    <row r="57" spans="1:21" x14ac:dyDescent="0.25">
      <c r="A57" s="629"/>
      <c r="B57" s="631"/>
      <c r="C57" s="652" t="str">
        <f>Texte_Sprachen!B88</f>
        <v>Konsola na biegu:</v>
      </c>
      <c r="D57" s="631"/>
      <c r="E57" s="631"/>
      <c r="F57" s="631"/>
      <c r="G57" s="631"/>
      <c r="H57" s="631"/>
      <c r="I57" s="631"/>
      <c r="J57" s="631"/>
      <c r="K57" s="631"/>
      <c r="L57" s="631"/>
      <c r="M57" s="632"/>
      <c r="N57" s="15"/>
      <c r="O57" s="1"/>
      <c r="P57" s="1"/>
      <c r="Q57" s="1"/>
      <c r="R57" s="1"/>
      <c r="S57" s="1"/>
      <c r="T57" s="1"/>
      <c r="U57" s="16"/>
    </row>
    <row r="58" spans="1:21" x14ac:dyDescent="0.25">
      <c r="A58" s="629"/>
      <c r="B58" s="631"/>
      <c r="C58" s="714" t="s">
        <v>213</v>
      </c>
      <c r="D58" s="697">
        <f>D56</f>
        <v>45.428140593851346</v>
      </c>
      <c r="E58" s="652" t="s">
        <v>216</v>
      </c>
      <c r="F58" s="715" t="s">
        <v>214</v>
      </c>
      <c r="G58" s="631"/>
      <c r="H58" s="714" t="s">
        <v>215</v>
      </c>
      <c r="I58" s="716">
        <f>IFERROR(Berechnung_TR_Lauf!G59/E26*100,"-")</f>
        <v>85</v>
      </c>
      <c r="J58" s="697" t="s">
        <v>216</v>
      </c>
      <c r="K58" s="719">
        <f>IF(L26="Typ F",IFERROR(IF(OR(I58=0,L58=""),"-",D58/I58),"-"),0)</f>
        <v>0.53444871286883933</v>
      </c>
      <c r="L58" s="718" t="str">
        <f>IF(D58=0,"",IF(D58&lt;=I58,"ü","û"))</f>
        <v>ü</v>
      </c>
      <c r="M58" s="632"/>
      <c r="N58" s="15"/>
      <c r="O58" s="1"/>
      <c r="P58" s="1"/>
      <c r="Q58" s="1"/>
      <c r="R58" s="1"/>
      <c r="S58" s="1"/>
      <c r="T58" s="1"/>
      <c r="U58" s="16"/>
    </row>
    <row r="59" spans="1:21" ht="9.9499999999999993" customHeight="1" x14ac:dyDescent="0.25">
      <c r="A59" s="687"/>
      <c r="B59" s="688"/>
      <c r="C59" s="688"/>
      <c r="D59" s="688"/>
      <c r="E59" s="688"/>
      <c r="F59" s="688"/>
      <c r="G59" s="688"/>
      <c r="H59" s="688"/>
      <c r="I59" s="688"/>
      <c r="J59" s="688"/>
      <c r="K59" s="688"/>
      <c r="L59" s="688"/>
      <c r="M59" s="720"/>
      <c r="N59" s="17"/>
      <c r="O59" s="2"/>
      <c r="P59" s="2"/>
      <c r="Q59" s="2"/>
      <c r="R59" s="2"/>
      <c r="S59" s="2"/>
      <c r="T59" s="2"/>
      <c r="U59" s="18"/>
    </row>
  </sheetData>
  <sheetProtection algorithmName="SHA-512" hashValue="W/Yjj8RbL+Pja8muyzRdMqp0qcvEWB0CS+QYLF4eZSa2/xi1Icx1CSCB6SLy56qtKbqiisWCXD1z0P0vsLG8nQ==" saltValue="QaF4OT6Qh+SY/XI5mNhlFA==" spinCount="100000" sheet="1" selectLockedCells="1"/>
  <protectedRanges>
    <protectedRange sqref="A1 D5:I6 D7 D14:G16 K14:K15 E22:E30 L22:L28" name="Eingabe Treppenlauf"/>
  </protectedRanges>
  <mergeCells count="23">
    <mergeCell ref="D7:E7"/>
    <mergeCell ref="B7:C7"/>
    <mergeCell ref="B8:C8"/>
    <mergeCell ref="D8:E8"/>
    <mergeCell ref="B4:C4"/>
    <mergeCell ref="E4:G4"/>
    <mergeCell ref="D6:I6"/>
    <mergeCell ref="D5:I5"/>
    <mergeCell ref="B5:C5"/>
    <mergeCell ref="B6:C6"/>
    <mergeCell ref="O46:T47"/>
    <mergeCell ref="A35:B37"/>
    <mergeCell ref="A40:B42"/>
    <mergeCell ref="K8:L8"/>
    <mergeCell ref="I54:M55"/>
    <mergeCell ref="I47:M48"/>
    <mergeCell ref="J9:M9"/>
    <mergeCell ref="G41:K41"/>
    <mergeCell ref="G42:K42"/>
    <mergeCell ref="D14:G14"/>
    <mergeCell ref="D15:G15"/>
    <mergeCell ref="D16:G16"/>
    <mergeCell ref="D17:G17"/>
  </mergeCells>
  <conditionalFormatting sqref="C51:F51 H51:L51 C50">
    <cfRule type="expression" dxfId="21" priority="63">
      <formula>$L$22&lt;&gt;"Typ F"</formula>
    </cfRule>
  </conditionalFormatting>
  <conditionalFormatting sqref="C58:F58 H58:L58 C57">
    <cfRule type="expression" dxfId="20" priority="64">
      <formula>$L$26&lt;&gt;"Typ F"</formula>
    </cfRule>
  </conditionalFormatting>
  <conditionalFormatting sqref="C49:L49 C51:L51 C56:L56 C58:L58">
    <cfRule type="expression" dxfId="19" priority="4">
      <formula>OR($K$49&gt;1,$K$51&gt;1,$K$56&gt;1,$K$58&gt;1)</formula>
    </cfRule>
  </conditionalFormatting>
  <conditionalFormatting sqref="E35:M58 C49:D49 C51:D51 C56:D56 C58:D58 D47 D54">
    <cfRule type="expression" dxfId="18" priority="5">
      <formula>$O$33&lt;&gt;""</formula>
    </cfRule>
  </conditionalFormatting>
  <conditionalFormatting sqref="I25:K25 M25">
    <cfRule type="expression" dxfId="17" priority="14">
      <formula>AND($L$22&lt;&gt;"Typ P",$L$22&lt;&gt;"Typ Z")</formula>
    </cfRule>
  </conditionalFormatting>
  <conditionalFormatting sqref="I29:K29 M29">
    <cfRule type="expression" dxfId="16" priority="7">
      <formula>AND($L$26&lt;&gt;"Typ P",$L$26&lt;&gt;"Typ Z")</formula>
    </cfRule>
  </conditionalFormatting>
  <conditionalFormatting sqref="I23:M24">
    <cfRule type="expression" dxfId="15" priority="11">
      <formula>$L$22&lt;&gt;"Typ F"</formula>
    </cfRule>
  </conditionalFormatting>
  <conditionalFormatting sqref="I27:M28">
    <cfRule type="expression" dxfId="14" priority="10">
      <formula>$L$26&lt;&gt;"Typ F"</formula>
    </cfRule>
  </conditionalFormatting>
  <conditionalFormatting sqref="L25">
    <cfRule type="expression" dxfId="13" priority="2">
      <formula>AND($L$22&lt;&gt;"Typ Z",$L$22&lt;&gt;"Typ P")</formula>
    </cfRule>
  </conditionalFormatting>
  <conditionalFormatting sqref="L29">
    <cfRule type="expression" dxfId="12" priority="3">
      <formula>AND($L$26&lt;&gt;"Typ Z",$L$26&lt;&gt;"Typ P")</formula>
    </cfRule>
  </conditionalFormatting>
  <conditionalFormatting sqref="N34:N42">
    <cfRule type="expression" dxfId="11" priority="6">
      <formula>O34=""</formula>
    </cfRule>
  </conditionalFormatting>
  <conditionalFormatting sqref="N46:N54">
    <cfRule type="expression" dxfId="10" priority="1">
      <formula>O46=""</formula>
    </cfRule>
  </conditionalFormatting>
  <dataValidations count="12">
    <dataValidation type="list" allowBlank="1" showInputMessage="1" showErrorMessage="1" sqref="L22" xr:uid="{00000000-0002-0000-0300-000000000000}">
      <formula1>"Typ T,Typ F,Typ B,Typ P,Typ Z"</formula1>
    </dataValidation>
    <dataValidation type="list" allowBlank="1" showInputMessage="1" showErrorMessage="1" sqref="L26" xr:uid="{6A43AC05-7103-4889-9320-51FE409F1C44}">
      <formula1>"Typ T,Typ F,Typ P,Typ Z"</formula1>
    </dataValidation>
    <dataValidation type="whole" allowBlank="1" showInputMessage="1" showErrorMessage="1" errorTitle="Error" error="16 cm ≤ H3 ≤ 50 cm" sqref="E29" xr:uid="{8B1B4B71-E97B-4F9E-B35B-33A0E707D093}">
      <formula1>16</formula1>
      <formula2>50</formula2>
    </dataValidation>
    <dataValidation type="whole" allowBlank="1" showInputMessage="1" showErrorMessage="1" errorTitle="Error" error="16 cm ≤ H2 ≤ 50 cm" sqref="E27" xr:uid="{E6F873FA-55E4-41E7-9F9B-FE6BA0424780}">
      <formula1>16</formula1>
      <formula2>50</formula2>
    </dataValidation>
    <dataValidation type="list" allowBlank="1" showInputMessage="1" showErrorMessage="1" sqref="D16:G16" xr:uid="{461B28D6-1C2D-4632-9AD5-0C64B53269BD}">
      <formula1>"≥ C20/25,≥ C25/30,≥ C30/37,≥ C35/40"</formula1>
    </dataValidation>
    <dataValidation type="whole" allowBlank="1" showInputMessage="1" showErrorMessage="1" errorTitle="Error" error="1 ≤ n ≤ 18" sqref="E22" xr:uid="{ACE79ABC-EFEB-40A8-ACD1-BDC40725FA1B}">
      <formula1>1</formula1>
      <formula2>18</formula2>
    </dataValidation>
    <dataValidation type="decimal" allowBlank="1" showInputMessage="1" showErrorMessage="1" errorTitle="Error" error="10 cm ≤ TL ≤ 50 cm" sqref="E23" xr:uid="{793E30FF-0543-4417-9BA0-74D01706227A}">
      <formula1>10</formula1>
      <formula2>50</formula2>
    </dataValidation>
    <dataValidation type="decimal" allowBlank="1" showInputMessage="1" showErrorMessage="1" errorTitle="Error" error="10 cm ≤ H1 ≤ 30 cm" sqref="E25" xr:uid="{14E875D0-EDEA-4751-83F5-00816133C101}">
      <formula1>10</formula1>
      <formula2>30</formula2>
    </dataValidation>
    <dataValidation type="decimal" allowBlank="1" showInputMessage="1" showErrorMessage="1" errorTitle="Error" error="75 cm ≤ B ≤ 450 cm" sqref="E26" xr:uid="{1E369474-C21F-4644-848C-0484CDD7A692}">
      <formula1>75</formula1>
      <formula2>450</formula2>
    </dataValidation>
    <dataValidation type="decimal" allowBlank="1" showInputMessage="1" showErrorMessage="1" errorTitle="Error" error="0 cm ≤ L2 ≤ 200 cm" sqref="E28" xr:uid="{D4329675-C389-4BF8-9B24-C74FA7452216}">
      <formula1>0</formula1>
      <formula2>200</formula2>
    </dataValidation>
    <dataValidation type="decimal" allowBlank="1" showInputMessage="1" showErrorMessage="1" errorTitle="Error" error="0 kN/m² ≤ x ≤ 10 kN/m²" sqref="K14:K15" xr:uid="{17654F6C-1064-486B-B0EA-80BE5D802E19}">
      <formula1>0</formula1>
      <formula2>10</formula2>
    </dataValidation>
    <dataValidation type="decimal" allowBlank="1" showInputMessage="1" showErrorMessage="1" errorTitle="Error" error="10 cm ≤ TH ≤ 30 cm" sqref="E24" xr:uid="{6C988945-E506-4CAD-AD96-AEA07654A26D}">
      <formula1>10</formula1>
      <formula2>30</formula2>
    </dataValidation>
  </dataValidations>
  <pageMargins left="0.70866141732283472" right="0.70866141732283472" top="0.78740157480314965" bottom="0.78740157480314965" header="0.31496062992125984" footer="0.31496062992125984"/>
  <pageSetup paperSize="9" orientation="portrait" r:id="rId1"/>
  <rowBreaks count="1" manualBreakCount="1">
    <brk id="43" max="16383" man="1"/>
  </rowBreaks>
  <colBreaks count="1" manualBreakCount="1">
    <brk id="13" max="1048575" man="1"/>
  </colBreaks>
  <customProperties>
    <customPr name="_pios_id" r:id="rId2"/>
  </customProperties>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A2E63A80-D865-464D-AD09-B6207D0FCBB5}">
          <x14:formula1>
            <xm:f>Eingabekonfig_Treppenlauf!$E$36:$E$55</xm:f>
          </x14:formula1>
          <xm:sqref>L27</xm:sqref>
        </x14:dataValidation>
        <x14:dataValidation type="list" allowBlank="1" showInputMessage="1" showErrorMessage="1" xr:uid="{D492586E-173A-43EC-A408-0CEB5DEA4E79}">
          <x14:formula1>
            <xm:f>Eingabekonfig_Treppenlauf!$B$60:$B$63</xm:f>
          </x14:formula1>
          <xm:sqref>L24</xm:sqref>
        </x14:dataValidation>
        <x14:dataValidation type="list" allowBlank="1" showInputMessage="1" showErrorMessage="1" xr:uid="{5170B130-3439-4F82-B9C3-52F7D162DC67}">
          <x14:formula1>
            <xm:f>Eingabekonfig_Treppenlauf!$E$4:$E$23</xm:f>
          </x14:formula1>
          <xm:sqref>L23</xm:sqref>
        </x14:dataValidation>
        <x14:dataValidation type="list" allowBlank="1" showInputMessage="1" showErrorMessage="1" xr:uid="{D911A482-F81A-46BC-952F-C28D492ABDE6}">
          <x14:formula1>
            <xm:f>Eingabekonfig_Treppenlauf!$E$60:$E$63</xm:f>
          </x14:formula1>
          <xm:sqref>L28</xm:sqref>
        </x14:dataValidation>
        <x14:dataValidation type="list" allowBlank="1" showInputMessage="1" showErrorMessage="1" xr:uid="{5DEBEB87-9017-418E-9DC1-76F28A5AB1EC}">
          <x14:formula1>
            <xm:f>Texte_Sprachen!$B$19:$B$22</xm:f>
          </x14:formula1>
          <xm:sqref>D15:G15</xm:sqref>
        </x14:dataValidation>
        <x14:dataValidation type="list" allowBlank="1" showInputMessage="1" showErrorMessage="1" xr:uid="{7B92D292-9AB5-4895-9D1F-B4D7853A3C24}">
          <x14:formula1>
            <xm:f>Texte_Sprachen!$B$154:$B$155</xm:f>
          </x14:formula1>
          <xm:sqref>D14:G14</xm:sqref>
        </x14:dataValidation>
        <x14:dataValidation type="decimal" allowBlank="1" showInputMessage="1" showErrorMessage="1" errorTitle="Error" error="Typ F: (L5 + 13 cm) ≤ L3 ≤ 200 cm_x000a_Typ T: 14 cm ≤ L3 ≤ 200 cm_x000a_Typ Z: 61 cm ≤ L3 ≤ 200 cm_x000a_Typ P: 56 cm ≤ L3 ≤ 200 cm" xr:uid="{3AA42FD0-FDE4-4D2B-A02A-14BFC7DC0100}">
          <x14:formula1>
            <xm:f>Eingabekonfig_Treppenlauf!B136</xm:f>
          </x14:formula1>
          <x14:formula2>
            <xm:f>200</xm:f>
          </x14:formula2>
          <xm:sqref>E30</xm:sqref>
        </x14:dataValidation>
        <x14:dataValidation type="decimal" allowBlank="1" showInputMessage="1" showErrorMessage="1" errorTitle="Error" error="Typ Z: F1 = 1,5 cm_x000a_Typ P: 1,5 cm ≤ F1 ≤ 5,0 cm" xr:uid="{9197E08B-5FFF-4FED-8DC0-D2E91F825A33}">
          <x14:formula1>
            <xm:f>Eingabekonfig_Treppenlauf!F115</xm:f>
          </x14:formula1>
          <x14:formula2>
            <xm:f>Eingabekonfig_Treppenlauf!F116</xm:f>
          </x14:formula2>
          <xm:sqref>L25</xm:sqref>
        </x14:dataValidation>
        <x14:dataValidation type="decimal" allowBlank="1" showInputMessage="1" showErrorMessage="1" errorTitle="Error" error="Typ Z: F1 = 1,5 cm_x000a_Typ P: 1,5 cm ≤ F1 ≤ 5,0 cm" xr:uid="{34AEFA74-55FC-4E75-AC8F-3514372304A8}">
          <x14:formula1>
            <xm:f>Eingabekonfig_Treppenlauf!G115</xm:f>
          </x14:formula1>
          <x14:formula2>
            <xm:f>Eingabekonfig_Treppenlauf!G116</xm:f>
          </x14:formula2>
          <xm:sqref>L29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61A-9D1B-4BA6-A82C-21E46DB11440}">
  <sheetPr codeName="Tabelle16"/>
  <dimension ref="A1:K137"/>
  <sheetViews>
    <sheetView workbookViewId="0">
      <selection activeCell="D4" sqref="D4:D23"/>
    </sheetView>
  </sheetViews>
  <sheetFormatPr baseColWidth="10" defaultColWidth="11.42578125" defaultRowHeight="15" x14ac:dyDescent="0.25"/>
  <cols>
    <col min="1" max="1" width="40.140625" bestFit="1" customWidth="1"/>
    <col min="2" max="3" width="10.7109375" bestFit="1" customWidth="1"/>
    <col min="4" max="4" width="22.140625" bestFit="1" customWidth="1"/>
    <col min="5" max="5" width="21.42578125" bestFit="1" customWidth="1"/>
    <col min="6" max="6" width="19.140625" bestFit="1" customWidth="1"/>
    <col min="7" max="7" width="22.140625" bestFit="1" customWidth="1"/>
    <col min="8" max="8" width="19.140625" bestFit="1" customWidth="1"/>
    <col min="9" max="10" width="19.140625" customWidth="1"/>
  </cols>
  <sheetData>
    <row r="1" spans="1:11" x14ac:dyDescent="0.25">
      <c r="A1" s="56" t="s">
        <v>217</v>
      </c>
      <c r="B1" s="42"/>
      <c r="C1" s="42"/>
      <c r="D1" s="42"/>
      <c r="E1" s="42"/>
      <c r="F1" s="42"/>
      <c r="G1" s="42"/>
      <c r="H1" s="42"/>
      <c r="I1" s="42"/>
      <c r="J1" s="42"/>
      <c r="K1" s="47"/>
    </row>
    <row r="2" spans="1:11" x14ac:dyDescent="0.25">
      <c r="A2" s="41"/>
      <c r="B2" s="42"/>
      <c r="C2" s="42"/>
      <c r="D2" s="42"/>
      <c r="E2" s="42"/>
      <c r="F2" s="42"/>
      <c r="G2" s="42"/>
      <c r="H2" s="42"/>
      <c r="I2" s="42"/>
      <c r="J2" s="42"/>
      <c r="K2" s="47"/>
    </row>
    <row r="3" spans="1:11" x14ac:dyDescent="0.25">
      <c r="A3" s="41"/>
      <c r="B3" s="73" t="s">
        <v>218</v>
      </c>
      <c r="C3" s="73" t="s">
        <v>219</v>
      </c>
      <c r="D3" s="73" t="s">
        <v>220</v>
      </c>
      <c r="E3" s="73" t="s">
        <v>221</v>
      </c>
      <c r="F3" s="54"/>
      <c r="G3" s="54"/>
      <c r="H3" s="54"/>
      <c r="I3" s="54"/>
      <c r="J3" s="54"/>
      <c r="K3" s="47"/>
    </row>
    <row r="4" spans="1:11" x14ac:dyDescent="0.25">
      <c r="A4" s="41"/>
      <c r="B4" s="74">
        <v>8</v>
      </c>
      <c r="C4" s="74">
        <v>16</v>
      </c>
      <c r="D4" s="75">
        <f>IF(AND('BIEG - DANE'!$L$22="Typ F",'BIEG - DANE'!$D$14="R 30"),B4,IF(AND('BIEG - DANE'!$L$22="Typ T",'BIEG - DANE'!$D$15&lt;&gt;Texte_Sprachen!$C$21,'BIEG - DANE'!$D$15&lt;&gt;Texte_Sprachen!$C$22),C4,
IF(AND('BIEG - DANE'!$L$22="Typ T",OR('BIEG - DANE'!$D$15=Texte_Sprachen!$C$21,'BIEG - DANE'!$D$15=Texte_Sprachen!$C$22)),C6,IF(AND('BIEG - DANE'!$L$22="Typ F",OR('BIEG - DANE'!$D$14="R 90",'BIEG - DANE'!$D$14="R 120")),B6,""))))</f>
        <v>10</v>
      </c>
      <c r="E4" s="247">
        <f t="shared" ref="E4:E23" si="0">IF(D4&lt;&gt;0,D4,"")</f>
        <v>10</v>
      </c>
      <c r="F4" s="78"/>
      <c r="G4" s="78"/>
      <c r="H4" s="78"/>
      <c r="I4" s="78"/>
      <c r="J4" s="78"/>
      <c r="K4" s="47"/>
    </row>
    <row r="5" spans="1:11" x14ac:dyDescent="0.25">
      <c r="A5" s="41"/>
      <c r="B5" s="74">
        <v>9</v>
      </c>
      <c r="C5" s="74">
        <v>17</v>
      </c>
      <c r="D5" s="75">
        <f>IF(AND('BIEG - DANE'!$L$22="Typ F",'BIEG - DANE'!$D$14="R 30"),B5,IF(AND('BIEG - DANE'!$L$22="Typ T",'BIEG - DANE'!$D$15&lt;&gt;Texte_Sprachen!$C$21,'BIEG - DANE'!$D$15&lt;&gt;Texte_Sprachen!$C$22),C5,
IF(AND('BIEG - DANE'!$L$22="Typ T",OR('BIEG - DANE'!$D$15=Texte_Sprachen!$C$21,'BIEG - DANE'!$D$15=Texte_Sprachen!$C$22)),C7,IF(AND('BIEG - DANE'!$L$22="Typ F",OR('BIEG - DANE'!$D$14="R 90",'BIEG - DANE'!$D$14="R 120")),B7,""))))</f>
        <v>11</v>
      </c>
      <c r="E5" s="247">
        <f t="shared" si="0"/>
        <v>11</v>
      </c>
      <c r="F5" s="78"/>
      <c r="G5" s="78"/>
      <c r="H5" s="78"/>
      <c r="I5" s="78"/>
      <c r="J5" s="78"/>
      <c r="K5" s="47"/>
    </row>
    <row r="6" spans="1:11" x14ac:dyDescent="0.25">
      <c r="A6" s="41"/>
      <c r="B6" s="74">
        <v>10</v>
      </c>
      <c r="C6" s="74">
        <v>18</v>
      </c>
      <c r="D6" s="75">
        <f>IF(AND('BIEG - DANE'!$L$22="Typ F",'BIEG - DANE'!$D$14="R 30"),B6,IF(AND('BIEG - DANE'!$L$22="Typ T",'BIEG - DANE'!$D$15&lt;&gt;Texte_Sprachen!$C$21,'BIEG - DANE'!$D$15&lt;&gt;Texte_Sprachen!$C$22),C6,
IF(AND('BIEG - DANE'!$L$22="Typ T",OR('BIEG - DANE'!$D$15=Texte_Sprachen!$C$21,'BIEG - DANE'!$D$15=Texte_Sprachen!$C$22)),C8,IF(AND('BIEG - DANE'!$L$22="Typ F",OR('BIEG - DANE'!$D$14="R 90",'BIEG - DANE'!$D$14="R 120")),B8,""))))</f>
        <v>12</v>
      </c>
      <c r="E6" s="247">
        <f t="shared" si="0"/>
        <v>12</v>
      </c>
      <c r="F6" s="78"/>
      <c r="G6" s="78"/>
      <c r="H6" s="78"/>
      <c r="I6" s="78"/>
      <c r="J6" s="78"/>
      <c r="K6" s="47"/>
    </row>
    <row r="7" spans="1:11" x14ac:dyDescent="0.25">
      <c r="A7" s="41"/>
      <c r="B7" s="74">
        <v>11</v>
      </c>
      <c r="C7" s="74">
        <v>19</v>
      </c>
      <c r="D7" s="75">
        <f>IF(AND('BIEG - DANE'!$L$22="Typ F",'BIEG - DANE'!$D$14="R 30"),B7,IF(AND('BIEG - DANE'!$L$22="Typ T",'BIEG - DANE'!$D$15&lt;&gt;Texte_Sprachen!$C$21,'BIEG - DANE'!$D$15&lt;&gt;Texte_Sprachen!$C$22),C7,
IF(AND('BIEG - DANE'!$L$22="Typ T",OR('BIEG - DANE'!$D$15=Texte_Sprachen!$C$21,'BIEG - DANE'!$D$15=Texte_Sprachen!$C$22)),C9,IF(AND('BIEG - DANE'!$L$22="Typ F",OR('BIEG - DANE'!$D$14="R 90",'BIEG - DANE'!$D$14="R 120")),B9,""))))</f>
        <v>13</v>
      </c>
      <c r="E7" s="247">
        <f t="shared" si="0"/>
        <v>13</v>
      </c>
      <c r="F7" s="78"/>
      <c r="G7" s="78"/>
      <c r="H7" s="78"/>
      <c r="I7" s="78"/>
      <c r="J7" s="78"/>
      <c r="K7" s="47"/>
    </row>
    <row r="8" spans="1:11" x14ac:dyDescent="0.25">
      <c r="A8" s="41"/>
      <c r="B8" s="74">
        <v>12</v>
      </c>
      <c r="C8" s="74">
        <v>20</v>
      </c>
      <c r="D8" s="75">
        <f>IF(AND('BIEG - DANE'!$L$22="Typ F",'BIEG - DANE'!$D$14="R 30"),B8,IF(AND('BIEG - DANE'!$L$22="Typ T",'BIEG - DANE'!$D$15&lt;&gt;Texte_Sprachen!$C$21,'BIEG - DANE'!$D$15&lt;&gt;Texte_Sprachen!$C$22),C8,
IF(AND('BIEG - DANE'!$L$22="Typ T",OR('BIEG - DANE'!$D$15=Texte_Sprachen!$C$21,'BIEG - DANE'!$D$15=Texte_Sprachen!$C$22)),C10,IF(AND('BIEG - DANE'!$L$22="Typ F",OR('BIEG - DANE'!$D$14="R 90",'BIEG - DANE'!$D$14="R 120")),B10,""))))</f>
        <v>14</v>
      </c>
      <c r="E8" s="247">
        <f t="shared" si="0"/>
        <v>14</v>
      </c>
      <c r="F8" s="78"/>
      <c r="G8" s="78"/>
      <c r="H8" s="78"/>
      <c r="I8" s="78"/>
      <c r="J8" s="78"/>
      <c r="K8" s="47"/>
    </row>
    <row r="9" spans="1:11" x14ac:dyDescent="0.25">
      <c r="A9" s="41"/>
      <c r="B9" s="74">
        <v>13</v>
      </c>
      <c r="C9" s="74">
        <v>21</v>
      </c>
      <c r="D9" s="75">
        <f>IF(AND('BIEG - DANE'!$L$22="Typ F",'BIEG - DANE'!$D$14="R 30"),B9,IF(AND('BIEG - DANE'!$L$22="Typ T",'BIEG - DANE'!$D$15&lt;&gt;Texte_Sprachen!$C$21,'BIEG - DANE'!$D$15&lt;&gt;Texte_Sprachen!$C$22),C9,
IF(AND('BIEG - DANE'!$L$22="Typ T",OR('BIEG - DANE'!$D$15=Texte_Sprachen!$C$21,'BIEG - DANE'!$D$15=Texte_Sprachen!$C$22)),C11,IF(AND('BIEG - DANE'!$L$22="Typ F",OR('BIEG - DANE'!$D$14="R 90",'BIEG - DANE'!$D$14="R 120")),B11,""))))</f>
        <v>15</v>
      </c>
      <c r="E9" s="247">
        <f t="shared" si="0"/>
        <v>15</v>
      </c>
      <c r="F9" s="78"/>
      <c r="G9" s="78"/>
      <c r="H9" s="78"/>
      <c r="I9" s="78"/>
      <c r="J9" s="78"/>
      <c r="K9" s="47"/>
    </row>
    <row r="10" spans="1:11" x14ac:dyDescent="0.25">
      <c r="A10" s="41"/>
      <c r="B10" s="74">
        <v>14</v>
      </c>
      <c r="C10" s="74">
        <v>22</v>
      </c>
      <c r="D10" s="75">
        <f>IF(AND('BIEG - DANE'!$L$22="Typ F",'BIEG - DANE'!$D$14="R 30"),B10,IF(AND('BIEG - DANE'!$L$22="Typ T",'BIEG - DANE'!$D$15&lt;&gt;Texte_Sprachen!$C$21,'BIEG - DANE'!$D$15&lt;&gt;Texte_Sprachen!$C$22),C10,
IF(AND('BIEG - DANE'!$L$22="Typ T",OR('BIEG - DANE'!$D$15=Texte_Sprachen!$C$21,'BIEG - DANE'!$D$15=Texte_Sprachen!$C$22)),C12,IF(AND('BIEG - DANE'!$L$22="Typ F",OR('BIEG - DANE'!$D$14="R 90",'BIEG - DANE'!$D$14="R 120")),B12,""))))</f>
        <v>16</v>
      </c>
      <c r="E10" s="247">
        <f t="shared" si="0"/>
        <v>16</v>
      </c>
      <c r="F10" s="78"/>
      <c r="G10" s="78"/>
      <c r="H10" s="78"/>
      <c r="I10" s="78"/>
      <c r="J10" s="78"/>
      <c r="K10" s="47"/>
    </row>
    <row r="11" spans="1:11" x14ac:dyDescent="0.25">
      <c r="A11" s="41"/>
      <c r="B11" s="74">
        <v>15</v>
      </c>
      <c r="C11" s="74">
        <v>23</v>
      </c>
      <c r="D11" s="75">
        <f>IF(AND('BIEG - DANE'!$L$22="Typ F",'BIEG - DANE'!$D$14="R 30"),B11,IF(AND('BIEG - DANE'!$L$22="Typ T",'BIEG - DANE'!$D$15&lt;&gt;Texte_Sprachen!$C$21,'BIEG - DANE'!$D$15&lt;&gt;Texte_Sprachen!$C$22),C11,
IF(AND('BIEG - DANE'!$L$22="Typ T",OR('BIEG - DANE'!$D$15=Texte_Sprachen!$C$21,'BIEG - DANE'!$D$15=Texte_Sprachen!$C$22)),C13,IF(AND('BIEG - DANE'!$L$22="Typ F",OR('BIEG - DANE'!$D$14="R 90",'BIEG - DANE'!$D$14="R 120")),B13,""))))</f>
        <v>17</v>
      </c>
      <c r="E11" s="247">
        <f>IF(D11&lt;&gt;0,D11,"")</f>
        <v>17</v>
      </c>
      <c r="F11" s="78"/>
      <c r="G11" s="78"/>
      <c r="H11" s="78"/>
      <c r="I11" s="78"/>
      <c r="J11" s="78"/>
      <c r="K11" s="47"/>
    </row>
    <row r="12" spans="1:11" x14ac:dyDescent="0.25">
      <c r="A12" s="41"/>
      <c r="B12" s="74">
        <v>16</v>
      </c>
      <c r="C12" s="74">
        <v>24</v>
      </c>
      <c r="D12" s="75">
        <f>IF(AND('BIEG - DANE'!$L$22="Typ F",'BIEG - DANE'!$D$14="R 30"),B12,IF(AND('BIEG - DANE'!$L$22="Typ T",'BIEG - DANE'!$D$15&lt;&gt;Texte_Sprachen!$C$21,'BIEG - DANE'!$D$15&lt;&gt;Texte_Sprachen!$C$22),C12,
IF(AND('BIEG - DANE'!$L$22="Typ T",OR('BIEG - DANE'!$D$15=Texte_Sprachen!$C$21,'BIEG - DANE'!$D$15=Texte_Sprachen!$C$22)),C14,IF(AND('BIEG - DANE'!$L$22="Typ F",OR('BIEG - DANE'!$D$14="R 90",'BIEG - DANE'!$D$14="R 120")),B14,""))))</f>
        <v>18</v>
      </c>
      <c r="E12" s="247">
        <f t="shared" si="0"/>
        <v>18</v>
      </c>
      <c r="F12" s="78"/>
      <c r="G12" s="78"/>
      <c r="H12" s="78"/>
      <c r="I12" s="78"/>
      <c r="J12" s="78"/>
      <c r="K12" s="47"/>
    </row>
    <row r="13" spans="1:11" x14ac:dyDescent="0.25">
      <c r="A13" s="41"/>
      <c r="B13" s="74">
        <v>17</v>
      </c>
      <c r="C13" s="74">
        <v>25</v>
      </c>
      <c r="D13" s="75">
        <f>IF(AND('BIEG - DANE'!$L$22="Typ F",'BIEG - DANE'!$D$14="R 30"),B13,IF(AND('BIEG - DANE'!$L$22="Typ T",'BIEG - DANE'!$D$15&lt;&gt;Texte_Sprachen!$C$21,'BIEG - DANE'!$D$15&lt;&gt;Texte_Sprachen!$C$22),C13,
IF(AND('BIEG - DANE'!$L$22="Typ T",OR('BIEG - DANE'!$D$15=Texte_Sprachen!$C$21,'BIEG - DANE'!$D$15=Texte_Sprachen!$C$22)),C15,IF(AND('BIEG - DANE'!$L$22="Typ F",OR('BIEG - DANE'!$D$14="R 90",'BIEG - DANE'!$D$14="R 120")),B15,""))))</f>
        <v>19</v>
      </c>
      <c r="E13" s="247">
        <f t="shared" si="0"/>
        <v>19</v>
      </c>
      <c r="F13" s="78"/>
      <c r="G13" s="78"/>
      <c r="H13" s="78"/>
      <c r="I13" s="78"/>
      <c r="J13" s="78"/>
      <c r="K13" s="47"/>
    </row>
    <row r="14" spans="1:11" x14ac:dyDescent="0.25">
      <c r="A14" s="41"/>
      <c r="B14" s="74">
        <v>18</v>
      </c>
      <c r="C14" s="74">
        <v>26</v>
      </c>
      <c r="D14" s="75">
        <f>IF(AND('BIEG - DANE'!$L$22="Typ F",'BIEG - DANE'!$D$14="R 30"),B14,IF(AND('BIEG - DANE'!$L$22="Typ T",'BIEG - DANE'!$D$15&lt;&gt;Texte_Sprachen!$C$21,'BIEG - DANE'!$D$15&lt;&gt;Texte_Sprachen!$C$22),C14,
IF(AND('BIEG - DANE'!$L$22="Typ T",OR('BIEG - DANE'!$D$15=Texte_Sprachen!$C$21,'BIEG - DANE'!$D$15=Texte_Sprachen!$C$22)),C16,IF(AND('BIEG - DANE'!$L$22="Typ F",OR('BIEG - DANE'!$D$14="R 90",'BIEG - DANE'!$D$14="R 120")),B16,""))))</f>
        <v>20</v>
      </c>
      <c r="E14" s="247">
        <f t="shared" si="0"/>
        <v>20</v>
      </c>
      <c r="F14" s="78"/>
      <c r="G14" s="78"/>
      <c r="H14" s="78"/>
      <c r="I14" s="78"/>
      <c r="J14" s="78"/>
      <c r="K14" s="47"/>
    </row>
    <row r="15" spans="1:11" x14ac:dyDescent="0.25">
      <c r="A15" s="41"/>
      <c r="B15" s="74">
        <v>19</v>
      </c>
      <c r="C15" s="74">
        <v>27</v>
      </c>
      <c r="D15" s="75">
        <f>IF(AND('BIEG - DANE'!$L$22="Typ F",'BIEG - DANE'!$D$14="R 30"),B15,IF(AND('BIEG - DANE'!$L$22="Typ T",'BIEG - DANE'!$D$15&lt;&gt;Texte_Sprachen!$C$21,'BIEG - DANE'!$D$15&lt;&gt;Texte_Sprachen!$C$22),C15,
IF(AND('BIEG - DANE'!$L$22="Typ T",OR('BIEG - DANE'!$D$15=Texte_Sprachen!$C$21,'BIEG - DANE'!$D$15=Texte_Sprachen!$C$22)),C17,IF(AND('BIEG - DANE'!$L$22="Typ F",OR('BIEG - DANE'!$D$14="R 90",'BIEG - DANE'!$D$14="R 120")),B17,""))))</f>
        <v>21</v>
      </c>
      <c r="E15" s="247">
        <f t="shared" si="0"/>
        <v>21</v>
      </c>
      <c r="F15" s="78"/>
      <c r="G15" s="78"/>
      <c r="H15" s="78"/>
      <c r="I15" s="78"/>
      <c r="J15" s="78"/>
      <c r="K15" s="47"/>
    </row>
    <row r="16" spans="1:11" x14ac:dyDescent="0.25">
      <c r="A16" s="41"/>
      <c r="B16" s="74">
        <v>20</v>
      </c>
      <c r="C16" s="74">
        <v>28</v>
      </c>
      <c r="D16" s="75">
        <f>IF(AND('BIEG - DANE'!$L$22="Typ F",'BIEG - DANE'!$D$14="R 30"),B16,IF(AND('BIEG - DANE'!$L$22="Typ T",'BIEG - DANE'!$D$15&lt;&gt;Texte_Sprachen!$C$21,'BIEG - DANE'!$D$15&lt;&gt;Texte_Sprachen!$C$22),C16,
IF(AND('BIEG - DANE'!$L$22="Typ T",OR('BIEG - DANE'!$D$15=Texte_Sprachen!$C$21,'BIEG - DANE'!$D$15=Texte_Sprachen!$C$22)),C18,IF(AND('BIEG - DANE'!$L$22="Typ F",OR('BIEG - DANE'!$D$14="R 90",'BIEG - DANE'!$D$14="R 120")),B18,""))))</f>
        <v>22</v>
      </c>
      <c r="E16" s="247">
        <f t="shared" si="0"/>
        <v>22</v>
      </c>
      <c r="F16" s="78"/>
      <c r="G16" s="78"/>
      <c r="H16" s="78"/>
      <c r="I16" s="78"/>
      <c r="J16" s="78"/>
      <c r="K16" s="47"/>
    </row>
    <row r="17" spans="1:11" x14ac:dyDescent="0.25">
      <c r="A17" s="41"/>
      <c r="B17" s="74">
        <v>21</v>
      </c>
      <c r="C17" s="74">
        <v>29</v>
      </c>
      <c r="D17" s="75">
        <f>IF(AND('BIEG - DANE'!$L$22="Typ F",'BIEG - DANE'!$D$14="R 30"),B17,IF(AND('BIEG - DANE'!$L$22="Typ T",'BIEG - DANE'!$D$15&lt;&gt;Texte_Sprachen!$C$21,'BIEG - DANE'!$D$15&lt;&gt;Texte_Sprachen!$C$22),C17,
IF(AND('BIEG - DANE'!$L$22="Typ T",OR('BIEG - DANE'!$D$15=Texte_Sprachen!$C$21,'BIEG - DANE'!$D$15=Texte_Sprachen!$C$22)),C19,IF(AND('BIEG - DANE'!$L$22="Typ F",OR('BIEG - DANE'!$D$14="R 90",'BIEG - DANE'!$D$14="R 120")),B19,""))))</f>
        <v>23</v>
      </c>
      <c r="E17" s="247">
        <f t="shared" si="0"/>
        <v>23</v>
      </c>
      <c r="F17" s="78"/>
      <c r="G17" s="78"/>
      <c r="H17" s="78"/>
      <c r="I17" s="78"/>
      <c r="J17" s="78"/>
      <c r="K17" s="47"/>
    </row>
    <row r="18" spans="1:11" x14ac:dyDescent="0.25">
      <c r="A18" s="41"/>
      <c r="B18" s="74">
        <v>22</v>
      </c>
      <c r="C18" s="74">
        <v>30</v>
      </c>
      <c r="D18" s="75">
        <f>IF(AND('BIEG - DANE'!$L$22="Typ F",'BIEG - DANE'!$D$14="R 30"),B18,IF(AND('BIEG - DANE'!$L$22="Typ T",'BIEG - DANE'!$D$15&lt;&gt;Texte_Sprachen!$C$21,'BIEG - DANE'!$D$15&lt;&gt;Texte_Sprachen!$C$22),C18,
IF(AND('BIEG - DANE'!$L$22="Typ T",OR('BIEG - DANE'!$D$15=Texte_Sprachen!$C$21,'BIEG - DANE'!$D$15=Texte_Sprachen!$C$22)),C20,IF(AND('BIEG - DANE'!$L$22="Typ F",OR('BIEG - DANE'!$D$14="R 90",'BIEG - DANE'!$D$14="R 120")),B20,""))))</f>
        <v>24</v>
      </c>
      <c r="E18" s="247">
        <f t="shared" si="0"/>
        <v>24</v>
      </c>
      <c r="F18" s="78"/>
      <c r="G18" s="78"/>
      <c r="H18" s="78"/>
      <c r="I18" s="78"/>
      <c r="J18" s="78"/>
      <c r="K18" s="47"/>
    </row>
    <row r="19" spans="1:11" x14ac:dyDescent="0.25">
      <c r="A19" s="41"/>
      <c r="B19" s="74">
        <v>23</v>
      </c>
      <c r="C19" s="74">
        <v>31</v>
      </c>
      <c r="D19" s="75">
        <f>IF(AND('BIEG - DANE'!$L$22="Typ F",'BIEG - DANE'!$D$14="R 30"),B19,IF(AND('BIEG - DANE'!$L$22="Typ T",'BIEG - DANE'!$D$15&lt;&gt;Texte_Sprachen!$C$21,'BIEG - DANE'!$D$15&lt;&gt;Texte_Sprachen!$C$22),C19,
IF(AND('BIEG - DANE'!$L$22="Typ T",OR('BIEG - DANE'!$D$15=Texte_Sprachen!$C$21,'BIEG - DANE'!$D$15=Texte_Sprachen!$C$22)),C21,IF(AND('BIEG - DANE'!$L$22="Typ F",OR('BIEG - DANE'!$D$14="R 90",'BIEG - DANE'!$D$14="R 120")),B21,""))))</f>
        <v>25</v>
      </c>
      <c r="E19" s="247">
        <f t="shared" si="0"/>
        <v>25</v>
      </c>
      <c r="F19" s="78"/>
      <c r="G19" s="78"/>
      <c r="H19" s="78"/>
      <c r="I19" s="78"/>
      <c r="J19" s="78"/>
      <c r="K19" s="47"/>
    </row>
    <row r="20" spans="1:11" x14ac:dyDescent="0.25">
      <c r="A20" s="41"/>
      <c r="B20" s="74">
        <v>24</v>
      </c>
      <c r="C20" s="74">
        <v>32</v>
      </c>
      <c r="D20" s="75">
        <f>IF(AND('BIEG - DANE'!$L$22="Typ F",'BIEG - DANE'!$D$14="R 30"),B20,IF(AND('BIEG - DANE'!$L$22="Typ T",'BIEG - DANE'!$D$15&lt;&gt;Texte_Sprachen!$C$21,'BIEG - DANE'!$D$15&lt;&gt;Texte_Sprachen!$C$22),C20,
IF(AND('BIEG - DANE'!$L$22="Typ T",OR('BIEG - DANE'!$D$15=Texte_Sprachen!$C$21,'BIEG - DANE'!$D$15=Texte_Sprachen!$C$22)),C22,IF(AND('BIEG - DANE'!$L$22="Typ F",OR('BIEG - DANE'!$D$14="R 90",'BIEG - DANE'!$D$14="R 120")),B22,""))))</f>
        <v>26</v>
      </c>
      <c r="E20" s="247">
        <f t="shared" si="0"/>
        <v>26</v>
      </c>
      <c r="F20" s="78"/>
      <c r="G20" s="78"/>
      <c r="H20" s="78"/>
      <c r="I20" s="78"/>
      <c r="J20" s="78"/>
      <c r="K20" s="47"/>
    </row>
    <row r="21" spans="1:11" x14ac:dyDescent="0.25">
      <c r="A21" s="41"/>
      <c r="B21" s="74">
        <v>25</v>
      </c>
      <c r="C21" s="74"/>
      <c r="D21" s="75">
        <f>IF(AND('BIEG - DANE'!$L$22="Typ F",'BIEG - DANE'!$D$14="R 30"),B21,IF(AND('BIEG - DANE'!$L$22="Typ T",'BIEG - DANE'!$D$15&lt;&gt;Texte_Sprachen!$C$21,'BIEG - DANE'!$D$15&lt;&gt;Texte_Sprachen!$C$22),C21,
IF(AND('BIEG - DANE'!$L$22="Typ T",OR('BIEG - DANE'!$D$15=Texte_Sprachen!$C$21,'BIEG - DANE'!$D$15=Texte_Sprachen!$C$22)),C23,IF(AND('BIEG - DANE'!$L$22="Typ F",OR('BIEG - DANE'!$D$14="R 90",'BIEG - DANE'!$D$14="R 120")),B23,""))))</f>
        <v>27</v>
      </c>
      <c r="E21" s="247">
        <f t="shared" si="0"/>
        <v>27</v>
      </c>
      <c r="F21" s="78"/>
      <c r="G21" s="78"/>
      <c r="H21" s="78"/>
      <c r="I21" s="78"/>
      <c r="J21" s="78"/>
      <c r="K21" s="47"/>
    </row>
    <row r="22" spans="1:11" x14ac:dyDescent="0.25">
      <c r="A22" s="41"/>
      <c r="B22" s="74">
        <v>26</v>
      </c>
      <c r="C22" s="74"/>
      <c r="D22" s="75">
        <f>IF(AND('BIEG - DANE'!$L$22="Typ F",'BIEG - DANE'!$D$14="R 30"),B22,IF(AND('BIEG - DANE'!$L$22="Typ T",'BIEG - DANE'!$D$15&lt;&gt;Texte_Sprachen!$C$21,'BIEG - DANE'!$D$15&lt;&gt;Texte_Sprachen!$C$22),C22,
IF(AND('BIEG - DANE'!$L$22="Typ T",OR('BIEG - DANE'!$D$15=Texte_Sprachen!$C$21,'BIEG - DANE'!$D$15=Texte_Sprachen!$C$22)),C24,IF(AND('BIEG - DANE'!$L$22="Typ F",OR('BIEG - DANE'!$D$14="R 90",'BIEG - DANE'!$D$14="R 120")),B24,""))))</f>
        <v>0</v>
      </c>
      <c r="E22" s="247" t="str">
        <f t="shared" si="0"/>
        <v/>
      </c>
      <c r="F22" s="78"/>
      <c r="G22" s="78"/>
      <c r="H22" s="78"/>
      <c r="I22" s="78"/>
      <c r="J22" s="78"/>
      <c r="K22" s="47"/>
    </row>
    <row r="23" spans="1:11" x14ac:dyDescent="0.25">
      <c r="A23" s="41"/>
      <c r="B23" s="74">
        <v>27</v>
      </c>
      <c r="C23" s="74"/>
      <c r="D23" s="75">
        <f>IF(AND('BIEG - DANE'!$L$22="Typ F",'BIEG - DANE'!$D$14="R 30"),B23,IF(AND('BIEG - DANE'!$L$22="Typ T",'BIEG - DANE'!$D$15&lt;&gt;Texte_Sprachen!$C$21,'BIEG - DANE'!$D$15&lt;&gt;Texte_Sprachen!$C$22),C23,
IF(AND('BIEG - DANE'!$L$22="Typ T",OR('BIEG - DANE'!$D$15=Texte_Sprachen!$C$21,'BIEG - DANE'!$D$15=Texte_Sprachen!$C$22)),C25,IF(AND('BIEG - DANE'!$L$22="Typ F",OR('BIEG - DANE'!$D$14="R 90",'BIEG - DANE'!$D$14="R 120")),B25,""))))</f>
        <v>0</v>
      </c>
      <c r="E23" s="247" t="str">
        <f t="shared" si="0"/>
        <v/>
      </c>
      <c r="F23" s="78"/>
      <c r="G23" s="78"/>
      <c r="H23" s="78"/>
      <c r="I23" s="78"/>
      <c r="J23" s="78"/>
      <c r="K23" s="47"/>
    </row>
    <row r="24" spans="1:11" x14ac:dyDescent="0.25">
      <c r="A24" s="77"/>
      <c r="B24" s="44"/>
      <c r="C24" s="44"/>
      <c r="D24" s="44"/>
      <c r="E24" s="44"/>
      <c r="F24" s="44"/>
      <c r="G24" s="44"/>
      <c r="H24" s="44"/>
      <c r="I24" s="44"/>
      <c r="J24" s="44"/>
      <c r="K24" s="52"/>
    </row>
    <row r="25" spans="1:11" x14ac:dyDescent="0.25">
      <c r="A25" s="56" t="s">
        <v>222</v>
      </c>
      <c r="B25" s="42"/>
      <c r="C25" s="42"/>
      <c r="D25" s="42"/>
      <c r="E25" s="42"/>
      <c r="F25" s="42"/>
      <c r="G25" s="42"/>
      <c r="H25" s="42"/>
      <c r="I25" s="42"/>
      <c r="J25" s="42"/>
      <c r="K25" s="47"/>
    </row>
    <row r="26" spans="1:11" x14ac:dyDescent="0.25">
      <c r="A26" s="41"/>
      <c r="B26" s="42"/>
      <c r="C26" s="42"/>
      <c r="D26" s="42"/>
      <c r="E26" s="42"/>
      <c r="F26" s="42"/>
      <c r="G26" s="42"/>
      <c r="H26" s="42"/>
      <c r="I26" s="42"/>
      <c r="J26" s="42"/>
      <c r="K26" s="47"/>
    </row>
    <row r="27" spans="1:11" x14ac:dyDescent="0.25">
      <c r="A27" s="41"/>
      <c r="B27" s="73" t="s">
        <v>223</v>
      </c>
      <c r="C27" s="73"/>
      <c r="D27" s="73" t="s">
        <v>220</v>
      </c>
      <c r="E27" s="73" t="s">
        <v>221</v>
      </c>
      <c r="F27" s="54"/>
      <c r="G27" s="54"/>
      <c r="H27" s="54"/>
      <c r="I27" s="54"/>
      <c r="J27" s="54"/>
      <c r="K27" s="47"/>
    </row>
    <row r="28" spans="1:11" x14ac:dyDescent="0.25">
      <c r="A28" s="41"/>
      <c r="B28" s="74">
        <v>13</v>
      </c>
      <c r="C28" s="74"/>
      <c r="D28" s="75">
        <f>IF('BIEG - DANE'!$L$22="Typ F",B28,IF('BIEG - DANE'!$L$22="Typ B",C28,0))</f>
        <v>13</v>
      </c>
      <c r="E28" s="247">
        <f>IF(D28&lt;&gt;0,D28,"")</f>
        <v>13</v>
      </c>
      <c r="F28" s="78"/>
      <c r="G28" s="78"/>
      <c r="H28" s="78"/>
      <c r="I28" s="78"/>
      <c r="J28" s="78"/>
      <c r="K28" s="47"/>
    </row>
    <row r="29" spans="1:11" x14ac:dyDescent="0.25">
      <c r="A29" s="41"/>
      <c r="B29" s="74">
        <v>14</v>
      </c>
      <c r="C29" s="74"/>
      <c r="D29" s="75">
        <f>IF('BIEG - DANE'!$L$22="Typ F",B29,IF('BIEG - DANE'!$L$22="Typ B",C29,0))</f>
        <v>14</v>
      </c>
      <c r="E29" s="247">
        <f t="shared" ref="E29:E31" si="1">IF(D29&lt;&gt;0,D29,"")</f>
        <v>14</v>
      </c>
      <c r="F29" s="78"/>
      <c r="G29" s="78"/>
      <c r="H29" s="78"/>
      <c r="I29" s="78"/>
      <c r="J29" s="78"/>
      <c r="K29" s="47"/>
    </row>
    <row r="30" spans="1:11" x14ac:dyDescent="0.25">
      <c r="A30" s="41"/>
      <c r="B30" s="74">
        <v>15</v>
      </c>
      <c r="C30" s="74"/>
      <c r="D30" s="75">
        <f>IF('BIEG - DANE'!$L$22="Typ F",B30,IF('BIEG - DANE'!$L$22="Typ B",C30,0))</f>
        <v>15</v>
      </c>
      <c r="E30" s="247">
        <f t="shared" si="1"/>
        <v>15</v>
      </c>
      <c r="F30" s="78"/>
      <c r="G30" s="78"/>
      <c r="H30" s="78"/>
      <c r="I30" s="78"/>
      <c r="J30" s="78"/>
      <c r="K30" s="47"/>
    </row>
    <row r="31" spans="1:11" x14ac:dyDescent="0.25">
      <c r="A31" s="41"/>
      <c r="B31" s="74">
        <v>16</v>
      </c>
      <c r="C31" s="74"/>
      <c r="D31" s="75">
        <f>IF('BIEG - DANE'!$L$22="Typ F",B31,IF('BIEG - DANE'!$L$22="Typ B",C31,0))</f>
        <v>16</v>
      </c>
      <c r="E31" s="247">
        <f t="shared" si="1"/>
        <v>16</v>
      </c>
      <c r="F31" s="78"/>
      <c r="G31" s="78"/>
      <c r="H31" s="78"/>
      <c r="I31" s="78"/>
      <c r="J31" s="78"/>
      <c r="K31" s="47"/>
    </row>
    <row r="32" spans="1:11" ht="15.75" thickBot="1" x14ac:dyDescent="0.3">
      <c r="A32" s="43"/>
      <c r="B32" s="44"/>
      <c r="C32" s="44"/>
      <c r="D32" s="44"/>
      <c r="E32" s="44"/>
      <c r="F32" s="44"/>
      <c r="G32" s="44"/>
      <c r="H32" s="44"/>
      <c r="I32" s="44"/>
      <c r="J32" s="44"/>
      <c r="K32" s="52"/>
    </row>
    <row r="33" spans="1:11" x14ac:dyDescent="0.25">
      <c r="A33" s="76" t="s">
        <v>224</v>
      </c>
      <c r="B33" s="45"/>
      <c r="C33" s="45"/>
      <c r="D33" s="45"/>
      <c r="E33" s="45"/>
      <c r="F33" s="45"/>
      <c r="G33" s="45"/>
      <c r="H33" s="45"/>
      <c r="I33" s="45"/>
      <c r="J33" s="45"/>
      <c r="K33" s="46"/>
    </row>
    <row r="34" spans="1:11" x14ac:dyDescent="0.25">
      <c r="A34" s="41"/>
      <c r="B34" s="42"/>
      <c r="C34" s="42"/>
      <c r="D34" s="42"/>
      <c r="E34" s="42"/>
      <c r="F34" s="42"/>
      <c r="G34" s="42"/>
      <c r="H34" s="42"/>
      <c r="I34" s="42"/>
      <c r="J34" s="42"/>
      <c r="K34" s="47"/>
    </row>
    <row r="35" spans="1:11" x14ac:dyDescent="0.25">
      <c r="A35" s="41"/>
      <c r="B35" s="73" t="s">
        <v>218</v>
      </c>
      <c r="C35" s="73" t="s">
        <v>219</v>
      </c>
      <c r="D35" s="73" t="s">
        <v>220</v>
      </c>
      <c r="E35" s="73" t="s">
        <v>221</v>
      </c>
      <c r="F35" s="54"/>
      <c r="G35" s="54"/>
      <c r="H35" s="54"/>
      <c r="I35" s="54"/>
      <c r="J35" s="54"/>
      <c r="K35" s="47"/>
    </row>
    <row r="36" spans="1:11" x14ac:dyDescent="0.25">
      <c r="A36" s="41"/>
      <c r="B36" s="74">
        <v>8</v>
      </c>
      <c r="C36" s="74">
        <v>16</v>
      </c>
      <c r="D36" s="75">
        <f>IF(AND('BIEG - DANE'!$L$26="Typ F",'BIEG - DANE'!$D$14="R 30"),B36,IF(AND('BIEG - DANE'!$L$26="Typ T",'BIEG - DANE'!$D$15&lt;&gt;Texte_Sprachen!$C$21,'BIEG - DANE'!$D$15&lt;&gt;Texte_Sprachen!$C$22),C36,
IF(AND('BIEG - DANE'!$L$26="Typ T",OR('BIEG - DANE'!$D$15=Texte_Sprachen!$C$21,'BIEG - DANE'!$D$15=Texte_Sprachen!$C$22)),C38,IF(AND('BIEG - DANE'!$L$26="Typ F",OR('BIEG - DANE'!$D$14="R 90",'BIEG - DANE'!$D$14="R 120")),B38,""))))</f>
        <v>10</v>
      </c>
      <c r="E36" s="247">
        <f>IF(D36&lt;&gt;0,D36,"")</f>
        <v>10</v>
      </c>
      <c r="F36" s="78"/>
      <c r="G36" s="78"/>
      <c r="H36" s="78"/>
      <c r="I36" s="78"/>
      <c r="J36" s="78"/>
      <c r="K36" s="47"/>
    </row>
    <row r="37" spans="1:11" x14ac:dyDescent="0.25">
      <c r="A37" s="41"/>
      <c r="B37" s="74">
        <v>9</v>
      </c>
      <c r="C37" s="74">
        <v>17</v>
      </c>
      <c r="D37" s="75">
        <f>IF(AND('BIEG - DANE'!$L$26="Typ F",'BIEG - DANE'!$D$14="R 30"),B37,IF(AND('BIEG - DANE'!$L$26="Typ T",'BIEG - DANE'!$D$15&lt;&gt;Texte_Sprachen!$C$21,'BIEG - DANE'!$D$15&lt;&gt;Texte_Sprachen!$C$22),C37,
IF(AND('BIEG - DANE'!$L$26="Typ T",OR('BIEG - DANE'!$D$15=Texte_Sprachen!$C$21,'BIEG - DANE'!$D$15=Texte_Sprachen!$C$22)),C39,IF(AND('BIEG - DANE'!$L$26="Typ F",OR('BIEG - DANE'!$D$14="R 90",'BIEG - DANE'!$D$14="R 120")),B39,""))))</f>
        <v>11</v>
      </c>
      <c r="E37" s="247">
        <f t="shared" ref="E37:E55" si="2">IF(D37&lt;&gt;0,D37,"")</f>
        <v>11</v>
      </c>
      <c r="F37" s="78"/>
      <c r="G37" s="78"/>
      <c r="H37" s="78"/>
      <c r="I37" s="78"/>
      <c r="J37" s="78"/>
      <c r="K37" s="47"/>
    </row>
    <row r="38" spans="1:11" x14ac:dyDescent="0.25">
      <c r="A38" s="41"/>
      <c r="B38" s="74">
        <v>10</v>
      </c>
      <c r="C38" s="74">
        <v>18</v>
      </c>
      <c r="D38" s="75">
        <f>IF(AND('BIEG - DANE'!$L$26="Typ F",'BIEG - DANE'!$D$14="R 30"),B38,IF(AND('BIEG - DANE'!$L$26="Typ T",'BIEG - DANE'!$D$15&lt;&gt;Texte_Sprachen!$C$21,'BIEG - DANE'!$D$15&lt;&gt;Texte_Sprachen!$C$22),C38,
IF(AND('BIEG - DANE'!$L$26="Typ T",OR('BIEG - DANE'!$D$15=Texte_Sprachen!$C$21,'BIEG - DANE'!$D$15=Texte_Sprachen!$C$22)),C40,IF(AND('BIEG - DANE'!$L$26="Typ F",OR('BIEG - DANE'!$D$14="R 90",'BIEG - DANE'!$D$14="R 120")),B40,""))))</f>
        <v>12</v>
      </c>
      <c r="E38" s="247">
        <f t="shared" si="2"/>
        <v>12</v>
      </c>
      <c r="F38" s="78"/>
      <c r="G38" s="78"/>
      <c r="H38" s="78"/>
      <c r="I38" s="78"/>
      <c r="J38" s="78"/>
      <c r="K38" s="47"/>
    </row>
    <row r="39" spans="1:11" x14ac:dyDescent="0.25">
      <c r="A39" s="41"/>
      <c r="B39" s="74">
        <v>11</v>
      </c>
      <c r="C39" s="74">
        <v>19</v>
      </c>
      <c r="D39" s="75">
        <f>IF(AND('BIEG - DANE'!$L$26="Typ F",'BIEG - DANE'!$D$14="R 30"),B39,IF(AND('BIEG - DANE'!$L$26="Typ T",'BIEG - DANE'!$D$15&lt;&gt;Texte_Sprachen!$C$21,'BIEG - DANE'!$D$15&lt;&gt;Texte_Sprachen!$C$22),C39,
IF(AND('BIEG - DANE'!$L$26="Typ T",OR('BIEG - DANE'!$D$15=Texte_Sprachen!$C$21,'BIEG - DANE'!$D$15=Texte_Sprachen!$C$22)),C41,IF(AND('BIEG - DANE'!$L$26="Typ F",OR('BIEG - DANE'!$D$14="R 90",'BIEG - DANE'!$D$14="R 120")),B41,""))))</f>
        <v>13</v>
      </c>
      <c r="E39" s="247">
        <f t="shared" si="2"/>
        <v>13</v>
      </c>
      <c r="F39" s="78"/>
      <c r="G39" s="78"/>
      <c r="H39" s="78"/>
      <c r="I39" s="78"/>
      <c r="J39" s="78"/>
      <c r="K39" s="47"/>
    </row>
    <row r="40" spans="1:11" x14ac:dyDescent="0.25">
      <c r="A40" s="41"/>
      <c r="B40" s="74">
        <v>12</v>
      </c>
      <c r="C40" s="74">
        <v>20</v>
      </c>
      <c r="D40" s="75">
        <f>IF(AND('BIEG - DANE'!$L$26="Typ F",'BIEG - DANE'!$D$14="R 30"),B40,IF(AND('BIEG - DANE'!$L$26="Typ T",'BIEG - DANE'!$D$15&lt;&gt;Texte_Sprachen!$C$21,'BIEG - DANE'!$D$15&lt;&gt;Texte_Sprachen!$C$22),C40,
IF(AND('BIEG - DANE'!$L$26="Typ T",OR('BIEG - DANE'!$D$15=Texte_Sprachen!$C$21,'BIEG - DANE'!$D$15=Texte_Sprachen!$C$22)),C42,IF(AND('BIEG - DANE'!$L$26="Typ F",OR('BIEG - DANE'!$D$14="R 90",'BIEG - DANE'!$D$14="R 120")),B42,""))))</f>
        <v>14</v>
      </c>
      <c r="E40" s="247">
        <f t="shared" si="2"/>
        <v>14</v>
      </c>
      <c r="F40" s="78"/>
      <c r="G40" s="78"/>
      <c r="H40" s="78"/>
      <c r="I40" s="78"/>
      <c r="J40" s="78"/>
      <c r="K40" s="47"/>
    </row>
    <row r="41" spans="1:11" x14ac:dyDescent="0.25">
      <c r="A41" s="41"/>
      <c r="B41" s="74">
        <v>13</v>
      </c>
      <c r="C41" s="74">
        <v>21</v>
      </c>
      <c r="D41" s="75">
        <f>IF(AND('BIEG - DANE'!$L$26="Typ F",'BIEG - DANE'!$D$14="R 30"),B41,IF(AND('BIEG - DANE'!$L$26="Typ T",'BIEG - DANE'!$D$15&lt;&gt;Texte_Sprachen!$C$21,'BIEG - DANE'!$D$15&lt;&gt;Texte_Sprachen!$C$22),C41,
IF(AND('BIEG - DANE'!$L$26="Typ T",OR('BIEG - DANE'!$D$15=Texte_Sprachen!$C$21,'BIEG - DANE'!$D$15=Texte_Sprachen!$C$22)),C43,IF(AND('BIEG - DANE'!$L$26="Typ F",OR('BIEG - DANE'!$D$14="R 90",'BIEG - DANE'!$D$14="R 120")),B43,""))))</f>
        <v>15</v>
      </c>
      <c r="E41" s="247">
        <f t="shared" si="2"/>
        <v>15</v>
      </c>
      <c r="F41" s="78"/>
      <c r="G41" s="78"/>
      <c r="H41" s="78"/>
      <c r="I41" s="78"/>
      <c r="J41" s="78"/>
      <c r="K41" s="47"/>
    </row>
    <row r="42" spans="1:11" x14ac:dyDescent="0.25">
      <c r="A42" s="41"/>
      <c r="B42" s="74">
        <v>14</v>
      </c>
      <c r="C42" s="74">
        <v>22</v>
      </c>
      <c r="D42" s="75">
        <f>IF(AND('BIEG - DANE'!$L$26="Typ F",'BIEG - DANE'!$D$14="R 30"),B42,IF(AND('BIEG - DANE'!$L$26="Typ T",'BIEG - DANE'!$D$15&lt;&gt;Texte_Sprachen!$C$21,'BIEG - DANE'!$D$15&lt;&gt;Texte_Sprachen!$C$22),C42,
IF(AND('BIEG - DANE'!$L$26="Typ T",OR('BIEG - DANE'!$D$15=Texte_Sprachen!$C$21,'BIEG - DANE'!$D$15=Texte_Sprachen!$C$22)),C44,IF(AND('BIEG - DANE'!$L$26="Typ F",OR('BIEG - DANE'!$D$14="R 90",'BIEG - DANE'!$D$14="R 120")),B44,""))))</f>
        <v>16</v>
      </c>
      <c r="E42" s="247">
        <f t="shared" si="2"/>
        <v>16</v>
      </c>
      <c r="F42" s="78"/>
      <c r="G42" s="78"/>
      <c r="H42" s="78"/>
      <c r="I42" s="78"/>
      <c r="J42" s="78"/>
      <c r="K42" s="47"/>
    </row>
    <row r="43" spans="1:11" x14ac:dyDescent="0.25">
      <c r="A43" s="41"/>
      <c r="B43" s="74">
        <v>15</v>
      </c>
      <c r="C43" s="74">
        <v>23</v>
      </c>
      <c r="D43" s="75">
        <f>IF(AND('BIEG - DANE'!$L$26="Typ F",'BIEG - DANE'!$D$14="R 30"),B43,IF(AND('BIEG - DANE'!$L$26="Typ T",'BIEG - DANE'!$D$15&lt;&gt;Texte_Sprachen!$C$21,'BIEG - DANE'!$D$15&lt;&gt;Texte_Sprachen!$C$22),C43,
IF(AND('BIEG - DANE'!$L$26="Typ T",OR('BIEG - DANE'!$D$15=Texte_Sprachen!$C$21,'BIEG - DANE'!$D$15=Texte_Sprachen!$C$22)),C45,IF(AND('BIEG - DANE'!$L$26="Typ F",OR('BIEG - DANE'!$D$14="R 90",'BIEG - DANE'!$D$14="R 120")),B45,""))))</f>
        <v>17</v>
      </c>
      <c r="E43" s="247">
        <f t="shared" si="2"/>
        <v>17</v>
      </c>
      <c r="F43" s="78"/>
      <c r="G43" s="78"/>
      <c r="H43" s="78"/>
      <c r="I43" s="78"/>
      <c r="J43" s="78"/>
      <c r="K43" s="47"/>
    </row>
    <row r="44" spans="1:11" x14ac:dyDescent="0.25">
      <c r="A44" s="41"/>
      <c r="B44" s="74">
        <v>16</v>
      </c>
      <c r="C44" s="74">
        <v>24</v>
      </c>
      <c r="D44" s="75">
        <f>IF(AND('BIEG - DANE'!$L$26="Typ F",'BIEG - DANE'!$D$14="R 30"),B44,IF(AND('BIEG - DANE'!$L$26="Typ T",'BIEG - DANE'!$D$15&lt;&gt;Texte_Sprachen!$C$21,'BIEG - DANE'!$D$15&lt;&gt;Texte_Sprachen!$C$22),C44,
IF(AND('BIEG - DANE'!$L$26="Typ T",OR('BIEG - DANE'!$D$15=Texte_Sprachen!$C$21,'BIEG - DANE'!$D$15=Texte_Sprachen!$C$22)),C46,IF(AND('BIEG - DANE'!$L$26="Typ F",OR('BIEG - DANE'!$D$14="R 90",'BIEG - DANE'!$D$14="R 120")),B46,""))))</f>
        <v>18</v>
      </c>
      <c r="E44" s="247">
        <f t="shared" si="2"/>
        <v>18</v>
      </c>
      <c r="F44" s="78"/>
      <c r="G44" s="78"/>
      <c r="H44" s="78"/>
      <c r="I44" s="78"/>
      <c r="J44" s="78"/>
      <c r="K44" s="47"/>
    </row>
    <row r="45" spans="1:11" x14ac:dyDescent="0.25">
      <c r="A45" s="41"/>
      <c r="B45" s="74">
        <v>17</v>
      </c>
      <c r="C45" s="74">
        <v>25</v>
      </c>
      <c r="D45" s="75">
        <f>IF(AND('BIEG - DANE'!$L$26="Typ F",'BIEG - DANE'!$D$14="R 30"),B45,IF(AND('BIEG - DANE'!$L$26="Typ T",'BIEG - DANE'!$D$15&lt;&gt;Texte_Sprachen!$C$21,'BIEG - DANE'!$D$15&lt;&gt;Texte_Sprachen!$C$22),C45,
IF(AND('BIEG - DANE'!$L$26="Typ T",OR('BIEG - DANE'!$D$15=Texte_Sprachen!$C$21,'BIEG - DANE'!$D$15=Texte_Sprachen!$C$22)),C47,IF(AND('BIEG - DANE'!$L$26="Typ F",OR('BIEG - DANE'!$D$14="R 90",'BIEG - DANE'!$D$14="R 120")),B47,""))))</f>
        <v>19</v>
      </c>
      <c r="E45" s="247">
        <f t="shared" si="2"/>
        <v>19</v>
      </c>
      <c r="F45" s="78"/>
      <c r="G45" s="78"/>
      <c r="H45" s="78"/>
      <c r="I45" s="78"/>
      <c r="J45" s="78"/>
      <c r="K45" s="47"/>
    </row>
    <row r="46" spans="1:11" x14ac:dyDescent="0.25">
      <c r="A46" s="41"/>
      <c r="B46" s="74">
        <v>18</v>
      </c>
      <c r="C46" s="74">
        <v>26</v>
      </c>
      <c r="D46" s="75">
        <f>IF(AND('BIEG - DANE'!$L$26="Typ F",'BIEG - DANE'!$D$14="R 30"),B46,IF(AND('BIEG - DANE'!$L$26="Typ T",'BIEG - DANE'!$D$15&lt;&gt;Texte_Sprachen!$C$21,'BIEG - DANE'!$D$15&lt;&gt;Texte_Sprachen!$C$22),C46,
IF(AND('BIEG - DANE'!$L$26="Typ T",OR('BIEG - DANE'!$D$15=Texte_Sprachen!$C$21,'BIEG - DANE'!$D$15=Texte_Sprachen!$C$22)),C48,IF(AND('BIEG - DANE'!$L$26="Typ F",OR('BIEG - DANE'!$D$14="R 90",'BIEG - DANE'!$D$14="R 120")),B48,""))))</f>
        <v>20</v>
      </c>
      <c r="E46" s="247">
        <f t="shared" si="2"/>
        <v>20</v>
      </c>
      <c r="F46" s="78"/>
      <c r="G46" s="78"/>
      <c r="H46" s="78"/>
      <c r="I46" s="78"/>
      <c r="J46" s="78"/>
      <c r="K46" s="47"/>
    </row>
    <row r="47" spans="1:11" x14ac:dyDescent="0.25">
      <c r="A47" s="41"/>
      <c r="B47" s="74">
        <v>19</v>
      </c>
      <c r="C47" s="74">
        <v>27</v>
      </c>
      <c r="D47" s="75">
        <f>IF(AND('BIEG - DANE'!$L$26="Typ F",'BIEG - DANE'!$D$14="R 30"),B47,IF(AND('BIEG - DANE'!$L$26="Typ T",'BIEG - DANE'!$D$15&lt;&gt;Texte_Sprachen!$C$21,'BIEG - DANE'!$D$15&lt;&gt;Texte_Sprachen!$C$22),C47,
IF(AND('BIEG - DANE'!$L$26="Typ T",OR('BIEG - DANE'!$D$15=Texte_Sprachen!$C$21,'BIEG - DANE'!$D$15=Texte_Sprachen!$C$22)),C49,IF(AND('BIEG - DANE'!$L$26="Typ F",OR('BIEG - DANE'!$D$14="R 90",'BIEG - DANE'!$D$14="R 120")),B49,""))))</f>
        <v>21</v>
      </c>
      <c r="E47" s="247">
        <f t="shared" si="2"/>
        <v>21</v>
      </c>
      <c r="F47" s="78"/>
      <c r="G47" s="78"/>
      <c r="H47" s="78"/>
      <c r="I47" s="78"/>
      <c r="J47" s="78"/>
      <c r="K47" s="47"/>
    </row>
    <row r="48" spans="1:11" x14ac:dyDescent="0.25">
      <c r="A48" s="41"/>
      <c r="B48" s="74">
        <v>20</v>
      </c>
      <c r="C48" s="74">
        <v>28</v>
      </c>
      <c r="D48" s="75">
        <f>IF(AND('BIEG - DANE'!$L$26="Typ F",'BIEG - DANE'!$D$14="R 30"),B48,IF(AND('BIEG - DANE'!$L$26="Typ T",'BIEG - DANE'!$D$15&lt;&gt;Texte_Sprachen!$C$21,'BIEG - DANE'!$D$15&lt;&gt;Texte_Sprachen!$C$22),C48,
IF(AND('BIEG - DANE'!$L$26="Typ T",OR('BIEG - DANE'!$D$15=Texte_Sprachen!$C$21,'BIEG - DANE'!$D$15=Texte_Sprachen!$C$22)),C50,IF(AND('BIEG - DANE'!$L$26="Typ F",OR('BIEG - DANE'!$D$14="R 90",'BIEG - DANE'!$D$14="R 120")),B50,""))))</f>
        <v>22</v>
      </c>
      <c r="E48" s="247">
        <f t="shared" si="2"/>
        <v>22</v>
      </c>
      <c r="F48" s="78"/>
      <c r="G48" s="78"/>
      <c r="H48" s="78"/>
      <c r="I48" s="78"/>
      <c r="J48" s="78"/>
      <c r="K48" s="47"/>
    </row>
    <row r="49" spans="1:11" x14ac:dyDescent="0.25">
      <c r="A49" s="41"/>
      <c r="B49" s="74">
        <v>21</v>
      </c>
      <c r="C49" s="74">
        <v>29</v>
      </c>
      <c r="D49" s="75">
        <f>IF(AND('BIEG - DANE'!$L$26="Typ F",'BIEG - DANE'!$D$14="R 30"),B49,IF(AND('BIEG - DANE'!$L$26="Typ T",'BIEG - DANE'!$D$15&lt;&gt;Texte_Sprachen!$C$21,'BIEG - DANE'!$D$15&lt;&gt;Texte_Sprachen!$C$22),C49,
IF(AND('BIEG - DANE'!$L$26="Typ T",OR('BIEG - DANE'!$D$15=Texte_Sprachen!$C$21,'BIEG - DANE'!$D$15=Texte_Sprachen!$C$22)),C51,IF(AND('BIEG - DANE'!$L$26="Typ F",OR('BIEG - DANE'!$D$14="R 90",'BIEG - DANE'!$D$14="R 120")),B51,""))))</f>
        <v>23</v>
      </c>
      <c r="E49" s="247">
        <f t="shared" si="2"/>
        <v>23</v>
      </c>
      <c r="F49" s="78"/>
      <c r="G49" s="78"/>
      <c r="H49" s="78"/>
      <c r="I49" s="78"/>
      <c r="J49" s="78"/>
      <c r="K49" s="47"/>
    </row>
    <row r="50" spans="1:11" x14ac:dyDescent="0.25">
      <c r="A50" s="41"/>
      <c r="B50" s="74">
        <v>22</v>
      </c>
      <c r="C50" s="74">
        <v>30</v>
      </c>
      <c r="D50" s="75">
        <f>IF(AND('BIEG - DANE'!$L$26="Typ F",'BIEG - DANE'!$D$14="R 30"),B50,IF(AND('BIEG - DANE'!$L$26="Typ T",'BIEG - DANE'!$D$15&lt;&gt;Texte_Sprachen!$C$21,'BIEG - DANE'!$D$15&lt;&gt;Texte_Sprachen!$C$22),C50,
IF(AND('BIEG - DANE'!$L$26="Typ T",OR('BIEG - DANE'!$D$15=Texte_Sprachen!$C$21,'BIEG - DANE'!$D$15=Texte_Sprachen!$C$22)),C52,IF(AND('BIEG - DANE'!$L$26="Typ F",OR('BIEG - DANE'!$D$14="R 90",'BIEG - DANE'!$D$14="R 120")),B52,""))))</f>
        <v>24</v>
      </c>
      <c r="E50" s="247">
        <f t="shared" si="2"/>
        <v>24</v>
      </c>
      <c r="F50" s="78"/>
      <c r="G50" s="78"/>
      <c r="H50" s="78"/>
      <c r="I50" s="78"/>
      <c r="J50" s="78"/>
      <c r="K50" s="47"/>
    </row>
    <row r="51" spans="1:11" x14ac:dyDescent="0.25">
      <c r="A51" s="41"/>
      <c r="B51" s="74">
        <v>23</v>
      </c>
      <c r="C51" s="74">
        <v>31</v>
      </c>
      <c r="D51" s="75">
        <f>IF(AND('BIEG - DANE'!$L$26="Typ F",'BIEG - DANE'!$D$14="R 30"),B51,IF(AND('BIEG - DANE'!$L$26="Typ T",'BIEG - DANE'!$D$15&lt;&gt;Texte_Sprachen!$C$21,'BIEG - DANE'!$D$15&lt;&gt;Texte_Sprachen!$C$22),C51,
IF(AND('BIEG - DANE'!$L$26="Typ T",OR('BIEG - DANE'!$D$15=Texte_Sprachen!$C$21,'BIEG - DANE'!$D$15=Texte_Sprachen!$C$22)),C53,IF(AND('BIEG - DANE'!$L$26="Typ F",OR('BIEG - DANE'!$D$14="R 90",'BIEG - DANE'!$D$14="R 120")),B53,""))))</f>
        <v>25</v>
      </c>
      <c r="E51" s="247">
        <f t="shared" si="2"/>
        <v>25</v>
      </c>
      <c r="F51" s="78"/>
      <c r="G51" s="78"/>
      <c r="H51" s="78"/>
      <c r="I51" s="78"/>
      <c r="J51" s="78"/>
      <c r="K51" s="47"/>
    </row>
    <row r="52" spans="1:11" x14ac:dyDescent="0.25">
      <c r="A52" s="41"/>
      <c r="B52" s="74">
        <v>24</v>
      </c>
      <c r="C52" s="74">
        <v>32</v>
      </c>
      <c r="D52" s="75">
        <f>IF(AND('BIEG - DANE'!$L$26="Typ F",'BIEG - DANE'!$D$14="R 30"),B52,IF(AND('BIEG - DANE'!$L$26="Typ T",'BIEG - DANE'!$D$15&lt;&gt;Texte_Sprachen!$C$21,'BIEG - DANE'!$D$15&lt;&gt;Texte_Sprachen!$C$22),C52,
IF(AND('BIEG - DANE'!$L$26="Typ T",OR('BIEG - DANE'!$D$15=Texte_Sprachen!$C$21,'BIEG - DANE'!$D$15=Texte_Sprachen!$C$22)),C54,IF(AND('BIEG - DANE'!$L$26="Typ F",OR('BIEG - DANE'!$D$14="R 90",'BIEG - DANE'!$D$14="R 120")),B54,""))))</f>
        <v>26</v>
      </c>
      <c r="E52" s="247">
        <f t="shared" si="2"/>
        <v>26</v>
      </c>
      <c r="F52" s="78"/>
      <c r="G52" s="78"/>
      <c r="H52" s="78"/>
      <c r="I52" s="78"/>
      <c r="J52" s="78"/>
      <c r="K52" s="47"/>
    </row>
    <row r="53" spans="1:11" x14ac:dyDescent="0.25">
      <c r="A53" s="41"/>
      <c r="B53" s="74">
        <v>25</v>
      </c>
      <c r="C53" s="74"/>
      <c r="D53" s="75">
        <f>IF(AND('BIEG - DANE'!$L$26="Typ F",'BIEG - DANE'!$D$14="R 30"),B53,IF(AND('BIEG - DANE'!$L$26="Typ T",'BIEG - DANE'!$D$15&lt;&gt;Texte_Sprachen!$C$21,'BIEG - DANE'!$D$15&lt;&gt;Texte_Sprachen!$C$22),C53,
IF(AND('BIEG - DANE'!$L$26="Typ T",OR('BIEG - DANE'!$D$15=Texte_Sprachen!$C$21,'BIEG - DANE'!$D$15=Texte_Sprachen!$C$22)),C55,IF(AND('BIEG - DANE'!$L$26="Typ F",OR('BIEG - DANE'!$D$14="R 90",'BIEG - DANE'!$D$14="R 120")),B55,""))))</f>
        <v>27</v>
      </c>
      <c r="E53" s="247">
        <f t="shared" si="2"/>
        <v>27</v>
      </c>
      <c r="F53" s="78"/>
      <c r="G53" s="78"/>
      <c r="H53" s="78"/>
      <c r="I53" s="78"/>
      <c r="J53" s="78"/>
      <c r="K53" s="47"/>
    </row>
    <row r="54" spans="1:11" x14ac:dyDescent="0.25">
      <c r="A54" s="41"/>
      <c r="B54" s="74">
        <v>26</v>
      </c>
      <c r="C54" s="74"/>
      <c r="D54" s="75">
        <f>IF(AND('BIEG - DANE'!$L$26="Typ F",'BIEG - DANE'!$D$14="R 30"),B54,IF(AND('BIEG - DANE'!$L$26="Typ T",'BIEG - DANE'!$D$15&lt;&gt;Texte_Sprachen!$C$21,'BIEG - DANE'!$D$15&lt;&gt;Texte_Sprachen!$C$22),C54,
IF(AND('BIEG - DANE'!$L$26="Typ T",OR('BIEG - DANE'!$D$15=Texte_Sprachen!$C$21,'BIEG - DANE'!$D$15=Texte_Sprachen!$C$22)),C56,IF(AND('BIEG - DANE'!$L$26="Typ F",OR('BIEG - DANE'!$D$14="R 90",'BIEG - DANE'!$D$14="R 120")),B56,""))))</f>
        <v>0</v>
      </c>
      <c r="E54" s="247" t="str">
        <f t="shared" si="2"/>
        <v/>
      </c>
      <c r="F54" s="78"/>
      <c r="G54" s="78"/>
      <c r="H54" s="78"/>
      <c r="I54" s="78"/>
      <c r="J54" s="78"/>
      <c r="K54" s="47"/>
    </row>
    <row r="55" spans="1:11" x14ac:dyDescent="0.25">
      <c r="A55" s="41"/>
      <c r="B55" s="74">
        <v>27</v>
      </c>
      <c r="C55" s="74"/>
      <c r="D55" s="75">
        <f>IF(AND('BIEG - DANE'!$L$26="Typ F",'BIEG - DANE'!$D$14="R 30"),B55,IF(AND('BIEG - DANE'!$L$26="Typ T",'BIEG - DANE'!$D$15&lt;&gt;Texte_Sprachen!$C$21,'BIEG - DANE'!$D$15&lt;&gt;Texte_Sprachen!$C$22),C55,
IF(AND('BIEG - DANE'!$L$26="Typ T",OR('BIEG - DANE'!$D$15=Texte_Sprachen!$C$21,'BIEG - DANE'!$D$15=Texte_Sprachen!$C$22)),C57,IF(AND('BIEG - DANE'!$L$26="Typ F",OR('BIEG - DANE'!$D$14="R 90",'BIEG - DANE'!$D$14="R 120")),B57,""))))</f>
        <v>0</v>
      </c>
      <c r="E55" s="247" t="str">
        <f t="shared" si="2"/>
        <v/>
      </c>
      <c r="F55" s="78"/>
      <c r="G55" s="78"/>
      <c r="H55" s="78"/>
      <c r="I55" s="78"/>
      <c r="J55" s="78"/>
      <c r="K55" s="47"/>
    </row>
    <row r="56" spans="1:11" x14ac:dyDescent="0.25">
      <c r="A56" s="77"/>
      <c r="B56" s="44"/>
      <c r="C56" s="44"/>
      <c r="D56" s="44"/>
      <c r="E56" s="44"/>
      <c r="F56" s="44"/>
      <c r="G56" s="44"/>
      <c r="H56" s="44"/>
      <c r="I56" s="44"/>
      <c r="J56" s="44"/>
      <c r="K56" s="52"/>
    </row>
    <row r="57" spans="1:11" x14ac:dyDescent="0.25">
      <c r="A57" s="56" t="s">
        <v>225</v>
      </c>
      <c r="B57" s="42"/>
      <c r="C57" s="42"/>
      <c r="D57" s="42"/>
      <c r="E57" s="42"/>
      <c r="F57" s="42"/>
      <c r="G57" s="42"/>
      <c r="H57" s="42"/>
      <c r="I57" s="42"/>
      <c r="J57" s="42"/>
      <c r="K57" s="47"/>
    </row>
    <row r="58" spans="1:11" x14ac:dyDescent="0.25">
      <c r="A58" s="41"/>
      <c r="B58" s="42"/>
      <c r="C58" s="42"/>
      <c r="D58" s="42"/>
      <c r="E58" s="42"/>
      <c r="F58" s="42"/>
      <c r="G58" s="42"/>
      <c r="H58" s="42"/>
      <c r="I58" s="42"/>
      <c r="J58" s="42"/>
      <c r="K58" s="47"/>
    </row>
    <row r="59" spans="1:11" x14ac:dyDescent="0.25">
      <c r="A59" s="41"/>
      <c r="B59" s="73" t="s">
        <v>223</v>
      </c>
      <c r="C59" s="73"/>
      <c r="D59" s="73" t="s">
        <v>220</v>
      </c>
      <c r="E59" s="73" t="s">
        <v>221</v>
      </c>
      <c r="F59" s="54"/>
      <c r="G59" s="54"/>
      <c r="H59" s="54"/>
      <c r="I59" s="54"/>
      <c r="J59" s="54"/>
      <c r="K59" s="47"/>
    </row>
    <row r="60" spans="1:11" x14ac:dyDescent="0.25">
      <c r="A60" s="41"/>
      <c r="B60" s="74">
        <v>13</v>
      </c>
      <c r="C60" s="74"/>
      <c r="D60" s="75">
        <f>IF('BIEG - DANE'!$L$26="Typ F",B60,0)</f>
        <v>13</v>
      </c>
      <c r="E60" s="247">
        <f>IF(D60&lt;&gt;0,D60,"")</f>
        <v>13</v>
      </c>
      <c r="F60" s="78"/>
      <c r="G60" s="78"/>
      <c r="H60" s="78"/>
      <c r="I60" s="78"/>
      <c r="J60" s="78"/>
      <c r="K60" s="47"/>
    </row>
    <row r="61" spans="1:11" x14ac:dyDescent="0.25">
      <c r="A61" s="41"/>
      <c r="B61" s="74">
        <v>14</v>
      </c>
      <c r="C61" s="74"/>
      <c r="D61" s="75">
        <f>IF('BIEG - DANE'!$L$26="Typ F",B61,0)</f>
        <v>14</v>
      </c>
      <c r="E61" s="247">
        <f t="shared" ref="E61:E63" si="3">IF(D61&lt;&gt;0,D61,"")</f>
        <v>14</v>
      </c>
      <c r="F61" s="78"/>
      <c r="G61" s="78"/>
      <c r="H61" s="78"/>
      <c r="I61" s="78"/>
      <c r="J61" s="78"/>
      <c r="K61" s="47"/>
    </row>
    <row r="62" spans="1:11" x14ac:dyDescent="0.25">
      <c r="A62" s="41"/>
      <c r="B62" s="74">
        <v>15</v>
      </c>
      <c r="C62" s="74"/>
      <c r="D62" s="75">
        <f>IF('BIEG - DANE'!$L$26="Typ F",B62,0)</f>
        <v>15</v>
      </c>
      <c r="E62" s="247">
        <f t="shared" si="3"/>
        <v>15</v>
      </c>
      <c r="F62" s="78"/>
      <c r="G62" s="78"/>
      <c r="H62" s="78"/>
      <c r="I62" s="78"/>
      <c r="J62" s="78"/>
      <c r="K62" s="47"/>
    </row>
    <row r="63" spans="1:11" x14ac:dyDescent="0.25">
      <c r="A63" s="41"/>
      <c r="B63" s="74">
        <v>16</v>
      </c>
      <c r="C63" s="74"/>
      <c r="D63" s="75">
        <f>IF('BIEG - DANE'!$L$26="Typ F",B63,0)</f>
        <v>16</v>
      </c>
      <c r="E63" s="247">
        <f t="shared" si="3"/>
        <v>16</v>
      </c>
      <c r="F63" s="78"/>
      <c r="G63" s="78"/>
      <c r="H63" s="78"/>
      <c r="I63" s="78"/>
      <c r="J63" s="78"/>
      <c r="K63" s="47"/>
    </row>
    <row r="64" spans="1:11" x14ac:dyDescent="0.25">
      <c r="A64" s="43"/>
      <c r="B64" s="44"/>
      <c r="C64" s="44"/>
      <c r="D64" s="44"/>
      <c r="E64" s="44"/>
      <c r="F64" s="44"/>
      <c r="G64" s="44"/>
      <c r="H64" s="44"/>
      <c r="I64" s="44"/>
      <c r="J64" s="44"/>
      <c r="K64" s="52"/>
    </row>
    <row r="65" spans="1:11" x14ac:dyDescent="0.25">
      <c r="A65" s="56" t="s">
        <v>226</v>
      </c>
      <c r="B65" s="42"/>
      <c r="C65" s="42"/>
      <c r="D65" s="42"/>
      <c r="E65" s="42"/>
      <c r="F65" s="42"/>
      <c r="G65" s="42"/>
      <c r="H65" s="42"/>
      <c r="I65" s="42"/>
      <c r="J65" s="42"/>
      <c r="K65" s="47"/>
    </row>
    <row r="66" spans="1:11" x14ac:dyDescent="0.25">
      <c r="A66" s="41"/>
      <c r="B66" s="73" t="s">
        <v>11</v>
      </c>
      <c r="C66" s="73" t="s">
        <v>12</v>
      </c>
      <c r="D66" s="73" t="s">
        <v>10</v>
      </c>
      <c r="E66" s="73" t="s">
        <v>15</v>
      </c>
      <c r="F66" s="73" t="s">
        <v>14</v>
      </c>
      <c r="G66" s="73" t="s">
        <v>227</v>
      </c>
      <c r="H66" s="73" t="s">
        <v>228</v>
      </c>
      <c r="I66" s="73" t="s">
        <v>229</v>
      </c>
      <c r="J66" s="73" t="s">
        <v>230</v>
      </c>
      <c r="K66" s="47"/>
    </row>
    <row r="67" spans="1:11" x14ac:dyDescent="0.25">
      <c r="A67" s="41"/>
      <c r="B67" s="74">
        <v>16</v>
      </c>
      <c r="C67" s="74">
        <v>16</v>
      </c>
      <c r="D67" s="74">
        <v>8</v>
      </c>
      <c r="E67" s="74">
        <v>16</v>
      </c>
      <c r="F67" s="74">
        <v>16</v>
      </c>
      <c r="G67" s="75">
        <f>INDEX(B67:F67,1,MATCH('BIEG - DANE'!$L$22,Eingabekonfig_Treppenlauf!$B$66:$F$66,0))</f>
        <v>16</v>
      </c>
      <c r="H67" s="75">
        <f>INDEX(B67:F67,1,MATCH('BIEG - DANE'!$L$26,Eingabekonfig_Treppenlauf!$B$66:$F$66,0))</f>
        <v>16</v>
      </c>
      <c r="I67" s="247">
        <f>IF(G67&lt;&gt;0,G67,"")</f>
        <v>16</v>
      </c>
      <c r="J67" s="247">
        <f>IF(H67&lt;&gt;0,H67,"")</f>
        <v>16</v>
      </c>
      <c r="K67" s="47"/>
    </row>
    <row r="68" spans="1:11" x14ac:dyDescent="0.25">
      <c r="A68" s="41"/>
      <c r="B68" s="74">
        <v>17</v>
      </c>
      <c r="C68" s="74">
        <v>17</v>
      </c>
      <c r="D68" s="74">
        <v>9</v>
      </c>
      <c r="E68" s="74">
        <v>17</v>
      </c>
      <c r="F68" s="74">
        <v>17</v>
      </c>
      <c r="G68" s="75">
        <f>INDEX(B68:F68,1,MATCH('BIEG - DANE'!$L$22,Eingabekonfig_Treppenlauf!$B$66:$F$66,0))</f>
        <v>17</v>
      </c>
      <c r="H68" s="75">
        <f>INDEX(B68:F68,1,MATCH('BIEG - DANE'!$L$26,Eingabekonfig_Treppenlauf!$B$66:$F$66,0))</f>
        <v>17</v>
      </c>
      <c r="I68" s="247">
        <f t="shared" ref="I68:I109" si="4">IF(G68&lt;&gt;0,G68,"")</f>
        <v>17</v>
      </c>
      <c r="J68" s="247">
        <f t="shared" ref="J68:J109" si="5">IF(H68&lt;&gt;0,H68,"")</f>
        <v>17</v>
      </c>
      <c r="K68" s="47"/>
    </row>
    <row r="69" spans="1:11" x14ac:dyDescent="0.25">
      <c r="A69" s="41"/>
      <c r="B69" s="74">
        <v>18</v>
      </c>
      <c r="C69" s="74">
        <v>18</v>
      </c>
      <c r="D69" s="74">
        <v>10</v>
      </c>
      <c r="E69" s="74">
        <v>18</v>
      </c>
      <c r="F69" s="74">
        <v>18</v>
      </c>
      <c r="G69" s="75">
        <f>INDEX(B69:F69,1,MATCH('BIEG - DANE'!$L$22,Eingabekonfig_Treppenlauf!$B$66:$F$66,0))</f>
        <v>18</v>
      </c>
      <c r="H69" s="75">
        <f>INDEX(B69:F69,1,MATCH('BIEG - DANE'!$L$26,Eingabekonfig_Treppenlauf!$B$66:$F$66,0))</f>
        <v>18</v>
      </c>
      <c r="I69" s="247">
        <f t="shared" si="4"/>
        <v>18</v>
      </c>
      <c r="J69" s="247">
        <f t="shared" si="5"/>
        <v>18</v>
      </c>
      <c r="K69" s="47"/>
    </row>
    <row r="70" spans="1:11" x14ac:dyDescent="0.25">
      <c r="A70" s="41"/>
      <c r="B70" s="74">
        <v>19</v>
      </c>
      <c r="C70" s="74">
        <v>19</v>
      </c>
      <c r="D70" s="74">
        <v>11</v>
      </c>
      <c r="E70" s="74">
        <v>19</v>
      </c>
      <c r="F70" s="74">
        <v>19</v>
      </c>
      <c r="G70" s="75">
        <f>INDEX(B70:F70,1,MATCH('BIEG - DANE'!$L$22,Eingabekonfig_Treppenlauf!$B$66:$F$66,0))</f>
        <v>19</v>
      </c>
      <c r="H70" s="75">
        <f>INDEX(B70:F70,1,MATCH('BIEG - DANE'!$L$26,Eingabekonfig_Treppenlauf!$B$66:$F$66,0))</f>
        <v>19</v>
      </c>
      <c r="I70" s="247">
        <f t="shared" si="4"/>
        <v>19</v>
      </c>
      <c r="J70" s="247">
        <f t="shared" si="5"/>
        <v>19</v>
      </c>
      <c r="K70" s="47"/>
    </row>
    <row r="71" spans="1:11" x14ac:dyDescent="0.25">
      <c r="A71" s="41"/>
      <c r="B71" s="74">
        <v>20</v>
      </c>
      <c r="C71" s="74">
        <v>20</v>
      </c>
      <c r="D71" s="74">
        <v>12</v>
      </c>
      <c r="E71" s="74">
        <v>20</v>
      </c>
      <c r="F71" s="74">
        <v>20</v>
      </c>
      <c r="G71" s="75">
        <f>INDEX(B71:F71,1,MATCH('BIEG - DANE'!$L$22,Eingabekonfig_Treppenlauf!$B$66:$F$66,0))</f>
        <v>20</v>
      </c>
      <c r="H71" s="75">
        <f>INDEX(B71:F71,1,MATCH('BIEG - DANE'!$L$26,Eingabekonfig_Treppenlauf!$B$66:$F$66,0))</f>
        <v>20</v>
      </c>
      <c r="I71" s="247">
        <f t="shared" si="4"/>
        <v>20</v>
      </c>
      <c r="J71" s="247">
        <f t="shared" si="5"/>
        <v>20</v>
      </c>
      <c r="K71" s="47"/>
    </row>
    <row r="72" spans="1:11" x14ac:dyDescent="0.25">
      <c r="A72" s="41"/>
      <c r="B72" s="74">
        <v>21</v>
      </c>
      <c r="C72" s="74">
        <v>21</v>
      </c>
      <c r="D72" s="74">
        <v>13</v>
      </c>
      <c r="E72" s="74">
        <v>21</v>
      </c>
      <c r="F72" s="74">
        <v>21</v>
      </c>
      <c r="G72" s="75">
        <f>INDEX(B72:F72,1,MATCH('BIEG - DANE'!$L$22,Eingabekonfig_Treppenlauf!$B$66:$F$66,0))</f>
        <v>21</v>
      </c>
      <c r="H72" s="75">
        <f>INDEX(B72:F72,1,MATCH('BIEG - DANE'!$L$26,Eingabekonfig_Treppenlauf!$B$66:$F$66,0))</f>
        <v>21</v>
      </c>
      <c r="I72" s="247">
        <f t="shared" si="4"/>
        <v>21</v>
      </c>
      <c r="J72" s="247">
        <f t="shared" si="5"/>
        <v>21</v>
      </c>
      <c r="K72" s="47"/>
    </row>
    <row r="73" spans="1:11" x14ac:dyDescent="0.25">
      <c r="A73" s="41"/>
      <c r="B73" s="74">
        <v>22</v>
      </c>
      <c r="C73" s="74">
        <v>22</v>
      </c>
      <c r="D73" s="74">
        <v>14</v>
      </c>
      <c r="E73" s="74">
        <v>22</v>
      </c>
      <c r="F73" s="74">
        <v>22</v>
      </c>
      <c r="G73" s="75">
        <f>INDEX(B73:F73,1,MATCH('BIEG - DANE'!$L$22,Eingabekonfig_Treppenlauf!$B$66:$F$66,0))</f>
        <v>22</v>
      </c>
      <c r="H73" s="75">
        <f>INDEX(B73:F73,1,MATCH('BIEG - DANE'!$L$26,Eingabekonfig_Treppenlauf!$B$66:$F$66,0))</f>
        <v>22</v>
      </c>
      <c r="I73" s="247">
        <f t="shared" si="4"/>
        <v>22</v>
      </c>
      <c r="J73" s="247">
        <f t="shared" si="5"/>
        <v>22</v>
      </c>
      <c r="K73" s="47"/>
    </row>
    <row r="74" spans="1:11" x14ac:dyDescent="0.25">
      <c r="A74" s="41"/>
      <c r="B74" s="74">
        <v>23</v>
      </c>
      <c r="C74" s="74">
        <v>23</v>
      </c>
      <c r="D74" s="74">
        <v>15</v>
      </c>
      <c r="E74" s="74">
        <v>23</v>
      </c>
      <c r="F74" s="74">
        <v>23</v>
      </c>
      <c r="G74" s="75">
        <f>INDEX(B74:F74,1,MATCH('BIEG - DANE'!$L$22,Eingabekonfig_Treppenlauf!$B$66:$F$66,0))</f>
        <v>23</v>
      </c>
      <c r="H74" s="75">
        <f>INDEX(B74:F74,1,MATCH('BIEG - DANE'!$L$26,Eingabekonfig_Treppenlauf!$B$66:$F$66,0))</f>
        <v>23</v>
      </c>
      <c r="I74" s="247">
        <f t="shared" si="4"/>
        <v>23</v>
      </c>
      <c r="J74" s="247">
        <f t="shared" si="5"/>
        <v>23</v>
      </c>
      <c r="K74" s="47"/>
    </row>
    <row r="75" spans="1:11" x14ac:dyDescent="0.25">
      <c r="A75" s="41"/>
      <c r="B75" s="74">
        <v>24</v>
      </c>
      <c r="C75" s="74">
        <v>24</v>
      </c>
      <c r="D75" s="74">
        <v>16</v>
      </c>
      <c r="E75" s="74">
        <v>24</v>
      </c>
      <c r="F75" s="74">
        <v>24</v>
      </c>
      <c r="G75" s="75">
        <f>INDEX(B75:F75,1,MATCH('BIEG - DANE'!$L$22,Eingabekonfig_Treppenlauf!$B$66:$F$66,0))</f>
        <v>24</v>
      </c>
      <c r="H75" s="75">
        <f>INDEX(B75:F75,1,MATCH('BIEG - DANE'!$L$26,Eingabekonfig_Treppenlauf!$B$66:$F$66,0))</f>
        <v>24</v>
      </c>
      <c r="I75" s="247">
        <f t="shared" si="4"/>
        <v>24</v>
      </c>
      <c r="J75" s="247">
        <f t="shared" si="5"/>
        <v>24</v>
      </c>
      <c r="K75" s="47"/>
    </row>
    <row r="76" spans="1:11" x14ac:dyDescent="0.25">
      <c r="A76" s="41"/>
      <c r="B76" s="74">
        <v>25</v>
      </c>
      <c r="C76" s="74">
        <v>25</v>
      </c>
      <c r="D76" s="74">
        <v>17</v>
      </c>
      <c r="E76" s="74">
        <v>25</v>
      </c>
      <c r="F76" s="74">
        <v>25</v>
      </c>
      <c r="G76" s="75">
        <f>INDEX(B76:F76,1,MATCH('BIEG - DANE'!$L$22,Eingabekonfig_Treppenlauf!$B$66:$F$66,0))</f>
        <v>25</v>
      </c>
      <c r="H76" s="75">
        <f>INDEX(B76:F76,1,MATCH('BIEG - DANE'!$L$26,Eingabekonfig_Treppenlauf!$B$66:$F$66,0))</f>
        <v>25</v>
      </c>
      <c r="I76" s="247">
        <f t="shared" si="4"/>
        <v>25</v>
      </c>
      <c r="J76" s="247">
        <f t="shared" si="5"/>
        <v>25</v>
      </c>
      <c r="K76" s="47"/>
    </row>
    <row r="77" spans="1:11" x14ac:dyDescent="0.25">
      <c r="A77" s="41"/>
      <c r="B77" s="74">
        <v>26</v>
      </c>
      <c r="C77" s="74">
        <v>26</v>
      </c>
      <c r="D77" s="74">
        <v>18</v>
      </c>
      <c r="E77" s="74">
        <v>26</v>
      </c>
      <c r="F77" s="74">
        <v>26</v>
      </c>
      <c r="G77" s="75">
        <f>INDEX(B77:F77,1,MATCH('BIEG - DANE'!$L$22,Eingabekonfig_Treppenlauf!$B$66:$F$66,0))</f>
        <v>26</v>
      </c>
      <c r="H77" s="75">
        <f>INDEX(B77:F77,1,MATCH('BIEG - DANE'!$L$26,Eingabekonfig_Treppenlauf!$B$66:$F$66,0))</f>
        <v>26</v>
      </c>
      <c r="I77" s="247">
        <f t="shared" si="4"/>
        <v>26</v>
      </c>
      <c r="J77" s="247">
        <f t="shared" si="5"/>
        <v>26</v>
      </c>
      <c r="K77" s="47"/>
    </row>
    <row r="78" spans="1:11" x14ac:dyDescent="0.25">
      <c r="A78" s="41"/>
      <c r="B78" s="74">
        <v>27</v>
      </c>
      <c r="C78" s="74">
        <v>27</v>
      </c>
      <c r="D78" s="74">
        <v>19</v>
      </c>
      <c r="E78" s="74">
        <v>27</v>
      </c>
      <c r="F78" s="74">
        <v>27</v>
      </c>
      <c r="G78" s="75">
        <f>INDEX(B78:F78,1,MATCH('BIEG - DANE'!$L$22,Eingabekonfig_Treppenlauf!$B$66:$F$66,0))</f>
        <v>27</v>
      </c>
      <c r="H78" s="75">
        <f>INDEX(B78:F78,1,MATCH('BIEG - DANE'!$L$26,Eingabekonfig_Treppenlauf!$B$66:$F$66,0))</f>
        <v>27</v>
      </c>
      <c r="I78" s="247">
        <f t="shared" si="4"/>
        <v>27</v>
      </c>
      <c r="J78" s="247">
        <f t="shared" si="5"/>
        <v>27</v>
      </c>
      <c r="K78" s="47"/>
    </row>
    <row r="79" spans="1:11" x14ac:dyDescent="0.25">
      <c r="A79" s="41"/>
      <c r="B79" s="74">
        <v>28</v>
      </c>
      <c r="C79" s="74">
        <v>28</v>
      </c>
      <c r="D79" s="74">
        <v>20</v>
      </c>
      <c r="E79" s="74">
        <v>28</v>
      </c>
      <c r="F79" s="74">
        <v>28</v>
      </c>
      <c r="G79" s="75">
        <f>INDEX(B79:F79,1,MATCH('BIEG - DANE'!$L$22,Eingabekonfig_Treppenlauf!$B$66:$F$66,0))</f>
        <v>28</v>
      </c>
      <c r="H79" s="75">
        <f>INDEX(B79:F79,1,MATCH('BIEG - DANE'!$L$26,Eingabekonfig_Treppenlauf!$B$66:$F$66,0))</f>
        <v>28</v>
      </c>
      <c r="I79" s="247">
        <f t="shared" si="4"/>
        <v>28</v>
      </c>
      <c r="J79" s="247">
        <f t="shared" si="5"/>
        <v>28</v>
      </c>
      <c r="K79" s="47"/>
    </row>
    <row r="80" spans="1:11" x14ac:dyDescent="0.25">
      <c r="A80" s="41"/>
      <c r="B80" s="74">
        <v>29</v>
      </c>
      <c r="C80" s="74">
        <v>29</v>
      </c>
      <c r="D80" s="74">
        <v>21</v>
      </c>
      <c r="E80" s="74">
        <v>29</v>
      </c>
      <c r="F80" s="74">
        <v>29</v>
      </c>
      <c r="G80" s="75">
        <f>INDEX(B80:F80,1,MATCH('BIEG - DANE'!$L$22,Eingabekonfig_Treppenlauf!$B$66:$F$66,0))</f>
        <v>29</v>
      </c>
      <c r="H80" s="75">
        <f>INDEX(B80:F80,1,MATCH('BIEG - DANE'!$L$26,Eingabekonfig_Treppenlauf!$B$66:$F$66,0))</f>
        <v>29</v>
      </c>
      <c r="I80" s="247">
        <f t="shared" si="4"/>
        <v>29</v>
      </c>
      <c r="J80" s="247">
        <f t="shared" si="5"/>
        <v>29</v>
      </c>
      <c r="K80" s="47"/>
    </row>
    <row r="81" spans="1:11" x14ac:dyDescent="0.25">
      <c r="A81" s="41"/>
      <c r="B81" s="74">
        <v>30</v>
      </c>
      <c r="C81" s="74">
        <v>30</v>
      </c>
      <c r="D81" s="74">
        <v>22</v>
      </c>
      <c r="E81" s="74">
        <v>30</v>
      </c>
      <c r="F81" s="74">
        <v>30</v>
      </c>
      <c r="G81" s="75">
        <f>INDEX(B81:F81,1,MATCH('BIEG - DANE'!$L$22,Eingabekonfig_Treppenlauf!$B$66:$F$66,0))</f>
        <v>30</v>
      </c>
      <c r="H81" s="75">
        <f>INDEX(B81:F81,1,MATCH('BIEG - DANE'!$L$26,Eingabekonfig_Treppenlauf!$B$66:$F$66,0))</f>
        <v>30</v>
      </c>
      <c r="I81" s="247">
        <f t="shared" si="4"/>
        <v>30</v>
      </c>
      <c r="J81" s="247">
        <f t="shared" si="5"/>
        <v>30</v>
      </c>
      <c r="K81" s="47"/>
    </row>
    <row r="82" spans="1:11" x14ac:dyDescent="0.25">
      <c r="A82" s="41"/>
      <c r="B82" s="74">
        <v>31</v>
      </c>
      <c r="C82" s="74">
        <v>31</v>
      </c>
      <c r="D82" s="74">
        <v>23</v>
      </c>
      <c r="E82" s="74"/>
      <c r="F82" s="74">
        <v>31</v>
      </c>
      <c r="G82" s="75">
        <f>INDEX(B82:F82,1,MATCH('BIEG - DANE'!$L$22,Eingabekonfig_Treppenlauf!$B$66:$F$66,0))</f>
        <v>31</v>
      </c>
      <c r="H82" s="75">
        <f>INDEX(B82:F82,1,MATCH('BIEG - DANE'!$L$26,Eingabekonfig_Treppenlauf!$B$66:$F$66,0))</f>
        <v>31</v>
      </c>
      <c r="I82" s="247">
        <f t="shared" si="4"/>
        <v>31</v>
      </c>
      <c r="J82" s="247">
        <f t="shared" si="5"/>
        <v>31</v>
      </c>
      <c r="K82" s="47"/>
    </row>
    <row r="83" spans="1:11" x14ac:dyDescent="0.25">
      <c r="A83" s="41"/>
      <c r="B83" s="74">
        <v>32</v>
      </c>
      <c r="C83" s="74">
        <v>32</v>
      </c>
      <c r="D83" s="74">
        <v>24</v>
      </c>
      <c r="E83" s="74"/>
      <c r="F83" s="74">
        <v>32</v>
      </c>
      <c r="G83" s="75">
        <f>INDEX(B83:F83,1,MATCH('BIEG - DANE'!$L$22,Eingabekonfig_Treppenlauf!$B$66:$F$66,0))</f>
        <v>32</v>
      </c>
      <c r="H83" s="75">
        <f>INDEX(B83:F83,1,MATCH('BIEG - DANE'!$L$26,Eingabekonfig_Treppenlauf!$B$66:$F$66,0))</f>
        <v>32</v>
      </c>
      <c r="I83" s="247">
        <f t="shared" si="4"/>
        <v>32</v>
      </c>
      <c r="J83" s="247">
        <f t="shared" si="5"/>
        <v>32</v>
      </c>
      <c r="K83" s="47"/>
    </row>
    <row r="84" spans="1:11" x14ac:dyDescent="0.25">
      <c r="A84" s="41"/>
      <c r="B84" s="74">
        <v>33</v>
      </c>
      <c r="C84" s="74"/>
      <c r="D84" s="74">
        <v>25</v>
      </c>
      <c r="E84" s="74"/>
      <c r="F84" s="74">
        <v>33</v>
      </c>
      <c r="G84" s="75">
        <f>INDEX(B84:F84,1,MATCH('BIEG - DANE'!$L$22,Eingabekonfig_Treppenlauf!$B$66:$F$66,0))</f>
        <v>33</v>
      </c>
      <c r="H84" s="75">
        <f>INDEX(B84:F84,1,MATCH('BIEG - DANE'!$L$26,Eingabekonfig_Treppenlauf!$B$66:$F$66,0))</f>
        <v>33</v>
      </c>
      <c r="I84" s="247">
        <f t="shared" si="4"/>
        <v>33</v>
      </c>
      <c r="J84" s="247">
        <f t="shared" si="5"/>
        <v>33</v>
      </c>
      <c r="K84" s="47"/>
    </row>
    <row r="85" spans="1:11" x14ac:dyDescent="0.25">
      <c r="A85" s="41"/>
      <c r="B85" s="74">
        <v>34</v>
      </c>
      <c r="C85" s="74"/>
      <c r="D85" s="74">
        <v>26</v>
      </c>
      <c r="E85" s="74"/>
      <c r="F85" s="74">
        <v>34</v>
      </c>
      <c r="G85" s="75">
        <f>INDEX(B85:F85,1,MATCH('BIEG - DANE'!$L$22,Eingabekonfig_Treppenlauf!$B$66:$F$66,0))</f>
        <v>34</v>
      </c>
      <c r="H85" s="75">
        <f>INDEX(B85:F85,1,MATCH('BIEG - DANE'!$L$26,Eingabekonfig_Treppenlauf!$B$66:$F$66,0))</f>
        <v>34</v>
      </c>
      <c r="I85" s="247">
        <f t="shared" si="4"/>
        <v>34</v>
      </c>
      <c r="J85" s="247">
        <f t="shared" si="5"/>
        <v>34</v>
      </c>
      <c r="K85" s="47"/>
    </row>
    <row r="86" spans="1:11" x14ac:dyDescent="0.25">
      <c r="A86" s="41"/>
      <c r="B86" s="74">
        <v>35</v>
      </c>
      <c r="C86" s="74"/>
      <c r="D86" s="74">
        <v>27</v>
      </c>
      <c r="E86" s="74"/>
      <c r="F86" s="74">
        <v>35</v>
      </c>
      <c r="G86" s="75">
        <f>INDEX(B86:F86,1,MATCH('BIEG - DANE'!$L$22,Eingabekonfig_Treppenlauf!$B$66:$F$66,0))</f>
        <v>35</v>
      </c>
      <c r="H86" s="75">
        <f>INDEX(B86:F86,1,MATCH('BIEG - DANE'!$L$26,Eingabekonfig_Treppenlauf!$B$66:$F$66,0))</f>
        <v>35</v>
      </c>
      <c r="I86" s="247">
        <f t="shared" si="4"/>
        <v>35</v>
      </c>
      <c r="J86" s="247">
        <f t="shared" si="5"/>
        <v>35</v>
      </c>
      <c r="K86" s="47"/>
    </row>
    <row r="87" spans="1:11" x14ac:dyDescent="0.25">
      <c r="A87" s="41"/>
      <c r="B87" s="74">
        <v>36</v>
      </c>
      <c r="C87" s="74"/>
      <c r="D87" s="74">
        <v>28</v>
      </c>
      <c r="E87" s="74"/>
      <c r="F87" s="74">
        <v>36</v>
      </c>
      <c r="G87" s="75">
        <f>INDEX(B87:F87,1,MATCH('BIEG - DANE'!$L$22,Eingabekonfig_Treppenlauf!$B$66:$F$66,0))</f>
        <v>36</v>
      </c>
      <c r="H87" s="75">
        <f>INDEX(B87:F87,1,MATCH('BIEG - DANE'!$L$26,Eingabekonfig_Treppenlauf!$B$66:$F$66,0))</f>
        <v>36</v>
      </c>
      <c r="I87" s="247">
        <f t="shared" si="4"/>
        <v>36</v>
      </c>
      <c r="J87" s="247">
        <f t="shared" si="5"/>
        <v>36</v>
      </c>
      <c r="K87" s="47"/>
    </row>
    <row r="88" spans="1:11" x14ac:dyDescent="0.25">
      <c r="A88" s="41"/>
      <c r="B88" s="74">
        <v>37</v>
      </c>
      <c r="C88" s="74"/>
      <c r="D88" s="74">
        <v>29</v>
      </c>
      <c r="E88" s="74"/>
      <c r="F88" s="74">
        <v>37</v>
      </c>
      <c r="G88" s="75">
        <f>INDEX(B88:F88,1,MATCH('BIEG - DANE'!$L$22,Eingabekonfig_Treppenlauf!$B$66:$F$66,0))</f>
        <v>37</v>
      </c>
      <c r="H88" s="75">
        <f>INDEX(B88:F88,1,MATCH('BIEG - DANE'!$L$26,Eingabekonfig_Treppenlauf!$B$66:$F$66,0))</f>
        <v>37</v>
      </c>
      <c r="I88" s="247">
        <f t="shared" si="4"/>
        <v>37</v>
      </c>
      <c r="J88" s="247">
        <f t="shared" si="5"/>
        <v>37</v>
      </c>
      <c r="K88" s="47"/>
    </row>
    <row r="89" spans="1:11" x14ac:dyDescent="0.25">
      <c r="A89" s="41"/>
      <c r="B89" s="74">
        <v>38</v>
      </c>
      <c r="C89" s="74"/>
      <c r="D89" s="74">
        <v>30</v>
      </c>
      <c r="E89" s="74"/>
      <c r="F89" s="74">
        <v>38</v>
      </c>
      <c r="G89" s="75">
        <f>INDEX(B89:F89,1,MATCH('BIEG - DANE'!$L$22,Eingabekonfig_Treppenlauf!$B$66:$F$66,0))</f>
        <v>38</v>
      </c>
      <c r="H89" s="75">
        <f>INDEX(B89:F89,1,MATCH('BIEG - DANE'!$L$26,Eingabekonfig_Treppenlauf!$B$66:$F$66,0))</f>
        <v>38</v>
      </c>
      <c r="I89" s="247">
        <f t="shared" si="4"/>
        <v>38</v>
      </c>
      <c r="J89" s="247">
        <f t="shared" si="5"/>
        <v>38</v>
      </c>
      <c r="K89" s="47"/>
    </row>
    <row r="90" spans="1:11" x14ac:dyDescent="0.25">
      <c r="A90" s="41"/>
      <c r="B90" s="74">
        <v>39</v>
      </c>
      <c r="C90" s="74"/>
      <c r="D90" s="74">
        <v>31</v>
      </c>
      <c r="E90" s="74"/>
      <c r="F90" s="74">
        <v>39</v>
      </c>
      <c r="G90" s="75">
        <f>INDEX(B90:F90,1,MATCH('BIEG - DANE'!$L$22,Eingabekonfig_Treppenlauf!$B$66:$F$66,0))</f>
        <v>39</v>
      </c>
      <c r="H90" s="75">
        <f>INDEX(B90:F90,1,MATCH('BIEG - DANE'!$L$26,Eingabekonfig_Treppenlauf!$B$66:$F$66,0))</f>
        <v>39</v>
      </c>
      <c r="I90" s="247">
        <f t="shared" si="4"/>
        <v>39</v>
      </c>
      <c r="J90" s="247">
        <f t="shared" si="5"/>
        <v>39</v>
      </c>
      <c r="K90" s="47"/>
    </row>
    <row r="91" spans="1:11" x14ac:dyDescent="0.25">
      <c r="A91" s="41"/>
      <c r="B91" s="74">
        <v>40</v>
      </c>
      <c r="C91" s="74"/>
      <c r="D91" s="74">
        <v>32</v>
      </c>
      <c r="E91" s="74"/>
      <c r="F91" s="74">
        <v>40</v>
      </c>
      <c r="G91" s="75">
        <f>INDEX(B91:F91,1,MATCH('BIEG - DANE'!$L$22,Eingabekonfig_Treppenlauf!$B$66:$F$66,0))</f>
        <v>40</v>
      </c>
      <c r="H91" s="75">
        <f>INDEX(B91:F91,1,MATCH('BIEG - DANE'!$L$26,Eingabekonfig_Treppenlauf!$B$66:$F$66,0))</f>
        <v>40</v>
      </c>
      <c r="I91" s="247">
        <f t="shared" si="4"/>
        <v>40</v>
      </c>
      <c r="J91" s="247">
        <f t="shared" si="5"/>
        <v>40</v>
      </c>
      <c r="K91" s="47"/>
    </row>
    <row r="92" spans="1:11" x14ac:dyDescent="0.25">
      <c r="A92" s="41"/>
      <c r="B92" s="74">
        <v>41</v>
      </c>
      <c r="C92" s="74"/>
      <c r="D92" s="74">
        <v>33</v>
      </c>
      <c r="E92" s="74"/>
      <c r="F92" s="74">
        <v>41</v>
      </c>
      <c r="G92" s="75">
        <f>INDEX(B92:F92,1,MATCH('BIEG - DANE'!$L$22,Eingabekonfig_Treppenlauf!$B$66:$F$66,0))</f>
        <v>41</v>
      </c>
      <c r="H92" s="75">
        <f>INDEX(B92:F92,1,MATCH('BIEG - DANE'!$L$26,Eingabekonfig_Treppenlauf!$B$66:$F$66,0))</f>
        <v>41</v>
      </c>
      <c r="I92" s="247">
        <f t="shared" si="4"/>
        <v>41</v>
      </c>
      <c r="J92" s="247">
        <f t="shared" si="5"/>
        <v>41</v>
      </c>
      <c r="K92" s="47"/>
    </row>
    <row r="93" spans="1:11" x14ac:dyDescent="0.25">
      <c r="A93" s="41"/>
      <c r="B93" s="74">
        <v>42</v>
      </c>
      <c r="C93" s="74"/>
      <c r="D93" s="74">
        <v>34</v>
      </c>
      <c r="E93" s="74"/>
      <c r="F93" s="74">
        <v>42</v>
      </c>
      <c r="G93" s="75">
        <f>INDEX(B93:F93,1,MATCH('BIEG - DANE'!$L$22,Eingabekonfig_Treppenlauf!$B$66:$F$66,0))</f>
        <v>42</v>
      </c>
      <c r="H93" s="75">
        <f>INDEX(B93:F93,1,MATCH('BIEG - DANE'!$L$26,Eingabekonfig_Treppenlauf!$B$66:$F$66,0))</f>
        <v>42</v>
      </c>
      <c r="I93" s="247">
        <f t="shared" si="4"/>
        <v>42</v>
      </c>
      <c r="J93" s="247">
        <f t="shared" si="5"/>
        <v>42</v>
      </c>
      <c r="K93" s="47"/>
    </row>
    <row r="94" spans="1:11" x14ac:dyDescent="0.25">
      <c r="A94" s="41"/>
      <c r="B94" s="74">
        <v>43</v>
      </c>
      <c r="C94" s="74"/>
      <c r="D94" s="74">
        <v>35</v>
      </c>
      <c r="E94" s="74"/>
      <c r="F94" s="74">
        <v>43</v>
      </c>
      <c r="G94" s="75">
        <f>INDEX(B94:F94,1,MATCH('BIEG - DANE'!$L$22,Eingabekonfig_Treppenlauf!$B$66:$F$66,0))</f>
        <v>43</v>
      </c>
      <c r="H94" s="75">
        <f>INDEX(B94:F94,1,MATCH('BIEG - DANE'!$L$26,Eingabekonfig_Treppenlauf!$B$66:$F$66,0))</f>
        <v>43</v>
      </c>
      <c r="I94" s="247">
        <f t="shared" si="4"/>
        <v>43</v>
      </c>
      <c r="J94" s="247">
        <f t="shared" si="5"/>
        <v>43</v>
      </c>
      <c r="K94" s="47"/>
    </row>
    <row r="95" spans="1:11" x14ac:dyDescent="0.25">
      <c r="A95" s="41"/>
      <c r="B95" s="74">
        <v>44</v>
      </c>
      <c r="C95" s="74"/>
      <c r="D95" s="74">
        <v>36</v>
      </c>
      <c r="E95" s="74"/>
      <c r="F95" s="74">
        <v>44</v>
      </c>
      <c r="G95" s="75">
        <f>INDEX(B95:F95,1,MATCH('BIEG - DANE'!$L$22,Eingabekonfig_Treppenlauf!$B$66:$F$66,0))</f>
        <v>44</v>
      </c>
      <c r="H95" s="75">
        <f>INDEX(B95:F95,1,MATCH('BIEG - DANE'!$L$26,Eingabekonfig_Treppenlauf!$B$66:$F$66,0))</f>
        <v>44</v>
      </c>
      <c r="I95" s="247">
        <f t="shared" si="4"/>
        <v>44</v>
      </c>
      <c r="J95" s="247">
        <f t="shared" si="5"/>
        <v>44</v>
      </c>
      <c r="K95" s="47"/>
    </row>
    <row r="96" spans="1:11" x14ac:dyDescent="0.25">
      <c r="A96" s="41"/>
      <c r="B96" s="74">
        <v>45</v>
      </c>
      <c r="C96" s="74"/>
      <c r="D96" s="74">
        <v>37</v>
      </c>
      <c r="E96" s="74"/>
      <c r="F96" s="74">
        <v>45</v>
      </c>
      <c r="G96" s="75">
        <f>INDEX(B96:F96,1,MATCH('BIEG - DANE'!$L$22,Eingabekonfig_Treppenlauf!$B$66:$F$66,0))</f>
        <v>45</v>
      </c>
      <c r="H96" s="75">
        <f>INDEX(B96:F96,1,MATCH('BIEG - DANE'!$L$26,Eingabekonfig_Treppenlauf!$B$66:$F$66,0))</f>
        <v>45</v>
      </c>
      <c r="I96" s="247">
        <f t="shared" si="4"/>
        <v>45</v>
      </c>
      <c r="J96" s="247">
        <f t="shared" si="5"/>
        <v>45</v>
      </c>
      <c r="K96" s="47"/>
    </row>
    <row r="97" spans="1:11" x14ac:dyDescent="0.25">
      <c r="A97" s="41"/>
      <c r="B97" s="74">
        <v>46</v>
      </c>
      <c r="C97" s="74"/>
      <c r="D97" s="74">
        <v>38</v>
      </c>
      <c r="E97" s="74"/>
      <c r="F97" s="74">
        <v>46</v>
      </c>
      <c r="G97" s="75">
        <f>INDEX(B97:F97,1,MATCH('BIEG - DANE'!$L$22,Eingabekonfig_Treppenlauf!$B$66:$F$66,0))</f>
        <v>46</v>
      </c>
      <c r="H97" s="75">
        <f>INDEX(B97:F97,1,MATCH('BIEG - DANE'!$L$26,Eingabekonfig_Treppenlauf!$B$66:$F$66,0))</f>
        <v>46</v>
      </c>
      <c r="I97" s="247">
        <f t="shared" si="4"/>
        <v>46</v>
      </c>
      <c r="J97" s="247">
        <f t="shared" si="5"/>
        <v>46</v>
      </c>
      <c r="K97" s="47"/>
    </row>
    <row r="98" spans="1:11" x14ac:dyDescent="0.25">
      <c r="A98" s="41"/>
      <c r="B98" s="74">
        <v>47</v>
      </c>
      <c r="C98" s="74"/>
      <c r="D98" s="74">
        <v>39</v>
      </c>
      <c r="E98" s="74"/>
      <c r="F98" s="74">
        <v>47</v>
      </c>
      <c r="G98" s="75">
        <f>INDEX(B98:F98,1,MATCH('BIEG - DANE'!$L$22,Eingabekonfig_Treppenlauf!$B$66:$F$66,0))</f>
        <v>47</v>
      </c>
      <c r="H98" s="75">
        <f>INDEX(B98:F98,1,MATCH('BIEG - DANE'!$L$26,Eingabekonfig_Treppenlauf!$B$66:$F$66,0))</f>
        <v>47</v>
      </c>
      <c r="I98" s="247">
        <f t="shared" si="4"/>
        <v>47</v>
      </c>
      <c r="J98" s="247">
        <f t="shared" si="5"/>
        <v>47</v>
      </c>
      <c r="K98" s="47"/>
    </row>
    <row r="99" spans="1:11" x14ac:dyDescent="0.25">
      <c r="A99" s="41"/>
      <c r="B99" s="74">
        <v>48</v>
      </c>
      <c r="C99" s="74"/>
      <c r="D99" s="74">
        <v>40</v>
      </c>
      <c r="E99" s="74"/>
      <c r="F99" s="74">
        <v>48</v>
      </c>
      <c r="G99" s="75">
        <f>INDEX(B99:F99,1,MATCH('BIEG - DANE'!$L$22,Eingabekonfig_Treppenlauf!$B$66:$F$66,0))</f>
        <v>48</v>
      </c>
      <c r="H99" s="75">
        <f>INDEX(B99:F99,1,MATCH('BIEG - DANE'!$L$26,Eingabekonfig_Treppenlauf!$B$66:$F$66,0))</f>
        <v>48</v>
      </c>
      <c r="I99" s="247">
        <f t="shared" si="4"/>
        <v>48</v>
      </c>
      <c r="J99" s="247">
        <f t="shared" si="5"/>
        <v>48</v>
      </c>
      <c r="K99" s="47"/>
    </row>
    <row r="100" spans="1:11" x14ac:dyDescent="0.25">
      <c r="A100" s="41"/>
      <c r="B100" s="74">
        <v>49</v>
      </c>
      <c r="C100" s="74"/>
      <c r="D100" s="74">
        <v>41</v>
      </c>
      <c r="E100" s="74"/>
      <c r="F100" s="74">
        <v>49</v>
      </c>
      <c r="G100" s="75">
        <f>INDEX(B100:F100,1,MATCH('BIEG - DANE'!$L$22,Eingabekonfig_Treppenlauf!$B$66:$F$66,0))</f>
        <v>49</v>
      </c>
      <c r="H100" s="75">
        <f>INDEX(B100:F100,1,MATCH('BIEG - DANE'!$L$26,Eingabekonfig_Treppenlauf!$B$66:$F$66,0))</f>
        <v>49</v>
      </c>
      <c r="I100" s="247">
        <f t="shared" si="4"/>
        <v>49</v>
      </c>
      <c r="J100" s="247">
        <f t="shared" si="5"/>
        <v>49</v>
      </c>
      <c r="K100" s="47"/>
    </row>
    <row r="101" spans="1:11" x14ac:dyDescent="0.25">
      <c r="A101" s="41"/>
      <c r="B101" s="74">
        <v>50</v>
      </c>
      <c r="C101" s="74"/>
      <c r="D101" s="74">
        <v>42</v>
      </c>
      <c r="E101" s="74"/>
      <c r="F101" s="74">
        <v>50</v>
      </c>
      <c r="G101" s="75">
        <f>INDEX(B101:F101,1,MATCH('BIEG - DANE'!$L$22,Eingabekonfig_Treppenlauf!$B$66:$F$66,0))</f>
        <v>50</v>
      </c>
      <c r="H101" s="75">
        <f>INDEX(B101:F101,1,MATCH('BIEG - DANE'!$L$26,Eingabekonfig_Treppenlauf!$B$66:$F$66,0))</f>
        <v>50</v>
      </c>
      <c r="I101" s="247">
        <f t="shared" si="4"/>
        <v>50</v>
      </c>
      <c r="J101" s="247">
        <f t="shared" si="5"/>
        <v>50</v>
      </c>
      <c r="K101" s="47"/>
    </row>
    <row r="102" spans="1:11" x14ac:dyDescent="0.25">
      <c r="A102" s="41"/>
      <c r="B102" s="74"/>
      <c r="C102" s="74"/>
      <c r="D102" s="74">
        <v>43</v>
      </c>
      <c r="E102" s="74"/>
      <c r="F102" s="74"/>
      <c r="G102" s="75">
        <f>INDEX(B102:F102,1,MATCH('BIEG - DANE'!$L$22,Eingabekonfig_Treppenlauf!$B$66:$F$66,0))</f>
        <v>0</v>
      </c>
      <c r="H102" s="75">
        <f>INDEX(B102:F102,1,MATCH('BIEG - DANE'!$L$26,Eingabekonfig_Treppenlauf!$B$66:$F$66,0))</f>
        <v>0</v>
      </c>
      <c r="I102" s="247" t="str">
        <f t="shared" si="4"/>
        <v/>
      </c>
      <c r="J102" s="247" t="str">
        <f t="shared" si="5"/>
        <v/>
      </c>
      <c r="K102" s="47"/>
    </row>
    <row r="103" spans="1:11" x14ac:dyDescent="0.25">
      <c r="A103" s="41"/>
      <c r="B103" s="74"/>
      <c r="C103" s="74"/>
      <c r="D103" s="74">
        <v>44</v>
      </c>
      <c r="E103" s="74"/>
      <c r="F103" s="74"/>
      <c r="G103" s="75">
        <f>INDEX(B103:F103,1,MATCH('BIEG - DANE'!$L$22,Eingabekonfig_Treppenlauf!$B$66:$F$66,0))</f>
        <v>0</v>
      </c>
      <c r="H103" s="75">
        <f>INDEX(B103:F103,1,MATCH('BIEG - DANE'!$L$26,Eingabekonfig_Treppenlauf!$B$66:$F$66,0))</f>
        <v>0</v>
      </c>
      <c r="I103" s="247" t="str">
        <f t="shared" si="4"/>
        <v/>
      </c>
      <c r="J103" s="247" t="str">
        <f t="shared" si="5"/>
        <v/>
      </c>
      <c r="K103" s="47"/>
    </row>
    <row r="104" spans="1:11" x14ac:dyDescent="0.25">
      <c r="A104" s="41"/>
      <c r="B104" s="74"/>
      <c r="C104" s="74"/>
      <c r="D104" s="74">
        <v>45</v>
      </c>
      <c r="E104" s="74"/>
      <c r="F104" s="74"/>
      <c r="G104" s="75">
        <f>INDEX(B104:F104,1,MATCH('BIEG - DANE'!$L$22,Eingabekonfig_Treppenlauf!$B$66:$F$66,0))</f>
        <v>0</v>
      </c>
      <c r="H104" s="75">
        <f>INDEX(B104:F104,1,MATCH('BIEG - DANE'!$L$26,Eingabekonfig_Treppenlauf!$B$66:$F$66,0))</f>
        <v>0</v>
      </c>
      <c r="I104" s="247" t="str">
        <f t="shared" si="4"/>
        <v/>
      </c>
      <c r="J104" s="247" t="str">
        <f t="shared" si="5"/>
        <v/>
      </c>
      <c r="K104" s="47"/>
    </row>
    <row r="105" spans="1:11" x14ac:dyDescent="0.25">
      <c r="A105" s="41"/>
      <c r="B105" s="74"/>
      <c r="C105" s="74"/>
      <c r="D105" s="74">
        <v>46</v>
      </c>
      <c r="E105" s="74"/>
      <c r="F105" s="74"/>
      <c r="G105" s="75">
        <f>INDEX(B105:F105,1,MATCH('BIEG - DANE'!$L$22,Eingabekonfig_Treppenlauf!$B$66:$F$66,0))</f>
        <v>0</v>
      </c>
      <c r="H105" s="75">
        <f>INDEX(B105:F105,1,MATCH('BIEG - DANE'!$L$26,Eingabekonfig_Treppenlauf!$B$66:$F$66,0))</f>
        <v>0</v>
      </c>
      <c r="I105" s="247" t="str">
        <f t="shared" si="4"/>
        <v/>
      </c>
      <c r="J105" s="247" t="str">
        <f t="shared" si="5"/>
        <v/>
      </c>
      <c r="K105" s="47"/>
    </row>
    <row r="106" spans="1:11" x14ac:dyDescent="0.25">
      <c r="A106" s="41"/>
      <c r="B106" s="74"/>
      <c r="C106" s="74"/>
      <c r="D106" s="74">
        <v>47</v>
      </c>
      <c r="E106" s="74"/>
      <c r="F106" s="74"/>
      <c r="G106" s="75">
        <f>INDEX(B106:F106,1,MATCH('BIEG - DANE'!$L$22,Eingabekonfig_Treppenlauf!$B$66:$F$66,0))</f>
        <v>0</v>
      </c>
      <c r="H106" s="75">
        <f>INDEX(B106:F106,1,MATCH('BIEG - DANE'!$L$26,Eingabekonfig_Treppenlauf!$B$66:$F$66,0))</f>
        <v>0</v>
      </c>
      <c r="I106" s="247" t="str">
        <f t="shared" si="4"/>
        <v/>
      </c>
      <c r="J106" s="247" t="str">
        <f t="shared" si="5"/>
        <v/>
      </c>
      <c r="K106" s="47"/>
    </row>
    <row r="107" spans="1:11" x14ac:dyDescent="0.25">
      <c r="A107" s="41"/>
      <c r="B107" s="74"/>
      <c r="C107" s="74"/>
      <c r="D107" s="74">
        <v>48</v>
      </c>
      <c r="E107" s="74"/>
      <c r="F107" s="74"/>
      <c r="G107" s="75">
        <f>INDEX(B107:F107,1,MATCH('BIEG - DANE'!$L$22,Eingabekonfig_Treppenlauf!$B$66:$F$66,0))</f>
        <v>0</v>
      </c>
      <c r="H107" s="75">
        <f>INDEX(B107:F107,1,MATCH('BIEG - DANE'!$L$26,Eingabekonfig_Treppenlauf!$B$66:$F$66,0))</f>
        <v>0</v>
      </c>
      <c r="I107" s="247" t="str">
        <f t="shared" si="4"/>
        <v/>
      </c>
      <c r="J107" s="247" t="str">
        <f t="shared" si="5"/>
        <v/>
      </c>
      <c r="K107" s="47"/>
    </row>
    <row r="108" spans="1:11" x14ac:dyDescent="0.25">
      <c r="A108" s="41"/>
      <c r="B108" s="74"/>
      <c r="C108" s="74"/>
      <c r="D108" s="74">
        <v>49</v>
      </c>
      <c r="E108" s="74"/>
      <c r="F108" s="74"/>
      <c r="G108" s="75">
        <f>INDEX(B108:F108,1,MATCH('BIEG - DANE'!$L$22,Eingabekonfig_Treppenlauf!$B$66:$F$66,0))</f>
        <v>0</v>
      </c>
      <c r="H108" s="75">
        <f>INDEX(B108:F108,1,MATCH('BIEG - DANE'!$L$26,Eingabekonfig_Treppenlauf!$B$66:$F$66,0))</f>
        <v>0</v>
      </c>
      <c r="I108" s="247" t="str">
        <f t="shared" si="4"/>
        <v/>
      </c>
      <c r="J108" s="247" t="str">
        <f t="shared" si="5"/>
        <v/>
      </c>
      <c r="K108" s="47"/>
    </row>
    <row r="109" spans="1:11" x14ac:dyDescent="0.25">
      <c r="A109" s="41"/>
      <c r="B109" s="74"/>
      <c r="C109" s="74"/>
      <c r="D109" s="74">
        <v>50</v>
      </c>
      <c r="E109" s="74"/>
      <c r="F109" s="74"/>
      <c r="G109" s="75">
        <f>INDEX(B109:F109,1,MATCH('BIEG - DANE'!$L$22,Eingabekonfig_Treppenlauf!$B$66:$F$66,0))</f>
        <v>0</v>
      </c>
      <c r="H109" s="75">
        <f>INDEX(B109:F109,1,MATCH('BIEG - DANE'!$L$26,Eingabekonfig_Treppenlauf!$B$66:$F$66,0))</f>
        <v>0</v>
      </c>
      <c r="I109" s="247" t="str">
        <f t="shared" si="4"/>
        <v/>
      </c>
      <c r="J109" s="247" t="str">
        <f t="shared" si="5"/>
        <v/>
      </c>
      <c r="K109" s="47"/>
    </row>
    <row r="110" spans="1:11" x14ac:dyDescent="0.25">
      <c r="A110" s="41"/>
      <c r="B110" s="1028" t="s">
        <v>231</v>
      </c>
      <c r="C110" s="1028"/>
      <c r="D110" s="1028"/>
      <c r="E110" s="1028"/>
      <c r="F110" s="1028"/>
      <c r="G110" s="1028"/>
      <c r="H110" s="1028"/>
      <c r="I110" s="859">
        <f>SMALL(I67:I109,1)</f>
        <v>16</v>
      </c>
      <c r="J110" s="859">
        <f>SMALL(J67:J109,1)</f>
        <v>16</v>
      </c>
      <c r="K110" s="47"/>
    </row>
    <row r="111" spans="1:11" x14ac:dyDescent="0.25">
      <c r="A111" s="41"/>
      <c r="B111" s="1028" t="s">
        <v>232</v>
      </c>
      <c r="C111" s="1028"/>
      <c r="D111" s="1028"/>
      <c r="E111" s="1028"/>
      <c r="F111" s="1028"/>
      <c r="G111" s="1028"/>
      <c r="H111" s="1028"/>
      <c r="I111" s="859">
        <f>LARGE(I67:I109,1)</f>
        <v>50</v>
      </c>
      <c r="J111" s="859">
        <f>LARGE(J67:J109,1)</f>
        <v>50</v>
      </c>
      <c r="K111" s="47"/>
    </row>
    <row r="112" spans="1:11" x14ac:dyDescent="0.25">
      <c r="A112" s="43"/>
      <c r="B112" s="44"/>
      <c r="C112" s="44"/>
      <c r="D112" s="44"/>
      <c r="E112" s="44"/>
      <c r="F112" s="44"/>
      <c r="G112" s="44"/>
      <c r="H112" s="44"/>
      <c r="I112" s="44"/>
      <c r="J112" s="44"/>
      <c r="K112" s="52"/>
    </row>
    <row r="113" spans="1:11" x14ac:dyDescent="0.25">
      <c r="A113" s="56" t="s">
        <v>233</v>
      </c>
      <c r="B113" s="42"/>
      <c r="C113" s="42"/>
      <c r="D113" s="42"/>
      <c r="E113" s="42"/>
      <c r="F113" s="42"/>
      <c r="G113" s="42"/>
      <c r="H113" s="42"/>
      <c r="I113" s="42"/>
      <c r="J113" s="42"/>
      <c r="K113" s="47"/>
    </row>
    <row r="114" spans="1:11" x14ac:dyDescent="0.25">
      <c r="A114" s="41"/>
      <c r="B114" s="73" t="s">
        <v>15</v>
      </c>
      <c r="C114" s="73" t="s">
        <v>14</v>
      </c>
      <c r="D114" s="73" t="s">
        <v>234</v>
      </c>
      <c r="E114" s="73" t="s">
        <v>235</v>
      </c>
      <c r="F114" s="73" t="s">
        <v>236</v>
      </c>
      <c r="G114" s="73" t="s">
        <v>237</v>
      </c>
      <c r="H114" s="78"/>
      <c r="I114" s="78"/>
      <c r="J114" s="78"/>
      <c r="K114" s="47"/>
    </row>
    <row r="115" spans="1:11" x14ac:dyDescent="0.25">
      <c r="A115" s="41" t="s">
        <v>238</v>
      </c>
      <c r="B115" s="74">
        <v>1.5</v>
      </c>
      <c r="C115" s="74">
        <v>1.5</v>
      </c>
      <c r="D115" s="75">
        <f>IF('BIEG - DANE'!$L$22="Typ Z",B115,IF('BIEG - DANE'!$L$22="Typ P",C115,0))</f>
        <v>0</v>
      </c>
      <c r="E115" s="75">
        <f>IF('BIEG - DANE'!$L$26="Typ Z",B115,IF('BIEG - DANE'!$L$26="Typ P",C115,0))</f>
        <v>0</v>
      </c>
      <c r="F115" s="247" t="str">
        <f>IF(D115&lt;&gt;0,D115,"")</f>
        <v/>
      </c>
      <c r="G115" s="247" t="str">
        <f>IF(E115&lt;&gt;0,E115,"")</f>
        <v/>
      </c>
      <c r="H115" s="78"/>
      <c r="I115" s="78"/>
      <c r="J115" s="78"/>
      <c r="K115" s="47"/>
    </row>
    <row r="116" spans="1:11" x14ac:dyDescent="0.25">
      <c r="A116" s="41" t="s">
        <v>239</v>
      </c>
      <c r="B116" s="74"/>
      <c r="C116" s="74">
        <v>5</v>
      </c>
      <c r="D116" s="75">
        <f>IF('BIEG - DANE'!$L$22="Typ Z",B116,IF('BIEG - DANE'!$L$22="Typ P",C116,0))</f>
        <v>0</v>
      </c>
      <c r="E116" s="75">
        <f>IF('BIEG - DANE'!$L$26="Typ Z",B116,IF('BIEG - DANE'!$L$26="Typ P",C116,0))</f>
        <v>0</v>
      </c>
      <c r="F116" s="247" t="str">
        <f>IF(D116&lt;&gt;0,D116,"")</f>
        <v/>
      </c>
      <c r="G116" s="247" t="str">
        <f>IF(E116&lt;&gt;0,E116,"")</f>
        <v/>
      </c>
      <c r="H116" s="78"/>
      <c r="I116" s="78"/>
      <c r="J116" s="78"/>
      <c r="K116" s="47"/>
    </row>
    <row r="117" spans="1:11" ht="15.75" thickBot="1" x14ac:dyDescent="0.3">
      <c r="A117" s="41"/>
      <c r="B117" s="42"/>
      <c r="C117" s="42"/>
      <c r="D117" s="42"/>
      <c r="E117" s="42"/>
      <c r="F117" s="42"/>
      <c r="G117" s="42"/>
      <c r="H117" s="42"/>
      <c r="I117" s="42"/>
      <c r="J117" s="42"/>
      <c r="K117" s="47"/>
    </row>
    <row r="118" spans="1:11" x14ac:dyDescent="0.25">
      <c r="A118" s="76" t="s">
        <v>240</v>
      </c>
      <c r="B118" s="45"/>
      <c r="C118" s="45"/>
      <c r="D118" s="45"/>
      <c r="E118" s="45"/>
      <c r="F118" s="45"/>
      <c r="G118" s="45"/>
      <c r="H118" s="45"/>
      <c r="I118" s="45"/>
      <c r="J118" s="45"/>
      <c r="K118" s="46"/>
    </row>
    <row r="119" spans="1:11" x14ac:dyDescent="0.25">
      <c r="A119" s="41"/>
      <c r="B119" s="262" t="b">
        <f>AND(OR('BIEG - DANE'!$L$22="Typ F",'BIEG - DANE'!$L$26="Typ F"),OR(RIGHT('BIEG - DANE'!$D$16,6)="C20/25",RIGHT('BIEG - DANE'!$D$16,6)="C25/30"))</f>
        <v>0</v>
      </c>
      <c r="C119" s="42"/>
      <c r="D119" s="42"/>
      <c r="E119" s="42"/>
      <c r="F119" s="42"/>
      <c r="G119" s="42"/>
      <c r="H119" s="42"/>
      <c r="I119" s="42"/>
      <c r="J119" s="42"/>
      <c r="K119" s="47"/>
    </row>
    <row r="120" spans="1:11" x14ac:dyDescent="0.25">
      <c r="A120" s="41"/>
      <c r="B120" s="248" t="b">
        <f>AND(COUNTIF(Eingabekonfig_Treppenlauf!$G$115:$G$116,'BIEG - DANE'!$L$29)=0,OR('BIEG - DANE'!L26="Typ Z",'BIEG - DANE'!L26="Typ P"))</f>
        <v>0</v>
      </c>
      <c r="C120" s="42"/>
      <c r="D120" s="42"/>
      <c r="E120" s="42"/>
      <c r="F120" s="42"/>
      <c r="G120" s="42"/>
      <c r="H120" s="42"/>
      <c r="I120" s="42"/>
      <c r="J120" s="42"/>
      <c r="K120" s="47"/>
    </row>
    <row r="121" spans="1:11" x14ac:dyDescent="0.25">
      <c r="A121" s="41"/>
      <c r="B121" s="248" t="b">
        <f>AND(COUNTIF(Eingabekonfig_Treppenlauf!$F$115:$F$116,'BIEG - DANE'!$L$25)=0,OR('BIEG - DANE'!L22="Typ Z",'BIEG - DANE'!L22="Typ P"))</f>
        <v>0</v>
      </c>
      <c r="C121" s="42"/>
      <c r="D121" s="42"/>
      <c r="E121" s="42"/>
      <c r="F121" s="42"/>
      <c r="G121" s="42"/>
      <c r="H121" s="42"/>
      <c r="I121" s="42"/>
      <c r="J121" s="42"/>
      <c r="K121" s="47"/>
    </row>
    <row r="122" spans="1:11" x14ac:dyDescent="0.25">
      <c r="A122" s="41"/>
      <c r="B122" s="248" t="b">
        <f>AND(COUNTIF(Eingabekonfig_Treppenlauf!$E$26:$E$55,'BIEG - DANE'!$L$27)=0,'BIEG - DANE'!L26="Typ F")</f>
        <v>0</v>
      </c>
      <c r="C122" s="42"/>
      <c r="D122" s="42"/>
      <c r="E122" s="42"/>
      <c r="F122" s="42"/>
      <c r="G122" s="42"/>
      <c r="H122" s="42"/>
      <c r="I122" s="42"/>
      <c r="J122" s="42"/>
      <c r="K122" s="47"/>
    </row>
    <row r="123" spans="1:11" x14ac:dyDescent="0.25">
      <c r="A123" s="41"/>
      <c r="B123" s="248" t="b">
        <f>AND(COUNTIF(Eingabekonfig_Treppenlauf!$E$4:$E$23,'BIEG - DANE'!$L$23)=0,'BIEG - DANE'!L22="Typ F")</f>
        <v>0</v>
      </c>
      <c r="C123" s="42"/>
      <c r="D123" s="42"/>
      <c r="E123" s="42"/>
      <c r="F123" s="42"/>
      <c r="G123" s="42"/>
      <c r="H123" s="42"/>
      <c r="I123" s="42"/>
      <c r="J123" s="42"/>
      <c r="K123" s="47"/>
    </row>
    <row r="124" spans="1:11" x14ac:dyDescent="0.25">
      <c r="A124" s="41"/>
      <c r="B124" s="248" t="b">
        <f>AND(COUNTIF(Eingabekonfig_Treppenlauf!$J$67:$J$109,'BIEG - DANE'!$E$29)=0,'BIEG - DANE'!L26="Typ F")</f>
        <v>0</v>
      </c>
      <c r="C124" s="42"/>
      <c r="D124" s="42"/>
      <c r="E124" s="42"/>
      <c r="F124" s="42"/>
      <c r="G124" s="42"/>
      <c r="H124" s="42"/>
      <c r="I124" s="42"/>
      <c r="J124" s="42"/>
      <c r="K124" s="47"/>
    </row>
    <row r="125" spans="1:11" x14ac:dyDescent="0.25">
      <c r="A125" s="41"/>
      <c r="B125" s="248" t="b">
        <f>AND(COUNTIF(Eingabekonfig_Treppenlauf!$I$67:$I$109,'BIEG - DANE'!$E$27)=0,'BIEG - DANE'!L26="Typ F")</f>
        <v>0</v>
      </c>
      <c r="C125" s="42"/>
      <c r="D125" s="42"/>
      <c r="E125" s="42"/>
      <c r="F125" s="42"/>
      <c r="G125" s="42"/>
      <c r="H125" s="42"/>
      <c r="I125" s="42"/>
      <c r="J125" s="42"/>
      <c r="K125" s="47"/>
    </row>
    <row r="126" spans="1:11" x14ac:dyDescent="0.25">
      <c r="A126" s="41"/>
      <c r="B126" s="248" t="b">
        <f>AND('BIEG - DANE'!$D$15="Ortbeton",OR('BIEG - DANE'!$L$22="Typ F",'BIEG - DANE'!$L$26="Typ F"))</f>
        <v>0</v>
      </c>
      <c r="C126" s="42"/>
      <c r="D126" s="42"/>
      <c r="E126" s="42"/>
      <c r="F126" s="42"/>
      <c r="G126" s="42"/>
      <c r="H126" s="42"/>
      <c r="I126" s="42"/>
      <c r="J126" s="42"/>
      <c r="K126" s="47"/>
    </row>
    <row r="127" spans="1:11" x14ac:dyDescent="0.25">
      <c r="A127" s="41"/>
      <c r="B127" s="248" t="b">
        <f>AND('BIEG - DANE'!$L$23&gt;'BIEG - DANE'!$E$27,'BIEG - DANE'!L26="Typ F")</f>
        <v>0</v>
      </c>
      <c r="C127" s="42"/>
      <c r="D127" s="42"/>
      <c r="E127" s="42"/>
      <c r="F127" s="42"/>
      <c r="G127" s="42"/>
      <c r="H127" s="42"/>
      <c r="I127" s="42"/>
      <c r="J127" s="42"/>
      <c r="K127" s="47"/>
    </row>
    <row r="128" spans="1:11" x14ac:dyDescent="0.25">
      <c r="A128" s="41"/>
      <c r="B128" s="248" t="b">
        <f>AND('BIEG - DANE'!$L$27&gt;'BIEG - DANE'!$E$29,'BIEG - DANE'!L26="Typ F")</f>
        <v>0</v>
      </c>
      <c r="C128" s="42"/>
      <c r="D128" s="42"/>
      <c r="E128" s="42"/>
      <c r="F128" s="42"/>
      <c r="G128" s="42"/>
      <c r="H128" s="42"/>
      <c r="I128" s="42"/>
      <c r="J128" s="42"/>
      <c r="K128" s="47"/>
    </row>
    <row r="129" spans="1:11" x14ac:dyDescent="0.25">
      <c r="A129" s="41"/>
      <c r="B129" s="74">
        <f>COUNTIF(B119:B128,"WAHR")</f>
        <v>0</v>
      </c>
      <c r="C129" s="42"/>
      <c r="D129" s="42"/>
      <c r="E129" s="42"/>
      <c r="F129" s="42"/>
      <c r="G129" s="42"/>
      <c r="H129" s="42"/>
      <c r="I129" s="42"/>
      <c r="J129" s="42"/>
      <c r="K129" s="47"/>
    </row>
    <row r="130" spans="1:11" ht="15.75" thickBot="1" x14ac:dyDescent="0.3">
      <c r="A130" s="57"/>
      <c r="B130" s="58"/>
      <c r="C130" s="58"/>
      <c r="D130" s="58"/>
      <c r="E130" s="58"/>
      <c r="F130" s="58"/>
      <c r="G130" s="58"/>
      <c r="H130" s="58"/>
      <c r="I130" s="58"/>
      <c r="J130" s="58"/>
      <c r="K130" s="59"/>
    </row>
    <row r="131" spans="1:11" x14ac:dyDescent="0.25">
      <c r="A131" s="76" t="s">
        <v>241</v>
      </c>
      <c r="B131" s="45"/>
      <c r="C131" s="45"/>
      <c r="D131" s="45"/>
      <c r="E131" s="45"/>
      <c r="F131" s="45"/>
      <c r="G131" s="45"/>
      <c r="H131" s="45"/>
      <c r="I131" s="45"/>
      <c r="J131" s="45"/>
      <c r="K131" s="46"/>
    </row>
    <row r="132" spans="1:11" x14ac:dyDescent="0.25">
      <c r="A132" s="41" t="s">
        <v>242</v>
      </c>
      <c r="B132" s="74">
        <f>IF(LEFT('SPOCZNIK - DANE'!K24,5)="Typ P",5,1.5)</f>
        <v>5</v>
      </c>
      <c r="C132" s="42"/>
      <c r="D132" s="42"/>
      <c r="E132" s="42"/>
      <c r="F132" s="42"/>
      <c r="G132" s="42"/>
      <c r="H132" s="42"/>
      <c r="I132" s="42"/>
      <c r="J132" s="42"/>
      <c r="K132" s="47"/>
    </row>
    <row r="133" spans="1:11" x14ac:dyDescent="0.25">
      <c r="A133" s="41" t="s">
        <v>243</v>
      </c>
      <c r="B133" s="74">
        <f>IF(LEFT('SPOCZNIK - DANE'!K24,5)="Typ P",20,12.6)+IF('SPOCZNIK - DANE'!K25="Typ F",'SPOCZNIK - DANE'!K27,0)</f>
        <v>33</v>
      </c>
      <c r="C133" s="42"/>
      <c r="D133" s="42"/>
      <c r="E133" s="42"/>
      <c r="F133" s="42"/>
      <c r="G133" s="42"/>
      <c r="H133" s="42"/>
      <c r="I133" s="42"/>
      <c r="J133" s="42"/>
      <c r="K133" s="47"/>
    </row>
    <row r="134" spans="1:11" x14ac:dyDescent="0.25">
      <c r="A134" s="41" t="s">
        <v>244</v>
      </c>
      <c r="B134" s="74">
        <f>IF(LEFT('SPOCZNIK - DANE'!K24,5)="Typ P",20,12.6)</f>
        <v>20</v>
      </c>
      <c r="C134" s="42"/>
      <c r="D134" s="42"/>
      <c r="E134" s="42"/>
      <c r="F134" s="42"/>
      <c r="G134" s="42"/>
      <c r="H134" s="42"/>
      <c r="I134" s="42"/>
      <c r="J134" s="42"/>
      <c r="K134" s="47"/>
    </row>
    <row r="135" spans="1:11" x14ac:dyDescent="0.25">
      <c r="A135" s="41" t="s">
        <v>245</v>
      </c>
      <c r="B135" s="74">
        <f>IF(AND('SPOCZNIK - DANE'!E14&lt;&gt;"R 30",LEFT('SPOCZNIK - DANE'!K24,5)="Typ P"),18,16)</f>
        <v>18</v>
      </c>
      <c r="C135" s="42"/>
      <c r="D135" s="42"/>
      <c r="E135" s="42"/>
      <c r="F135" s="42"/>
      <c r="G135" s="42"/>
      <c r="H135" s="42"/>
      <c r="I135" s="42"/>
      <c r="J135" s="42"/>
      <c r="K135" s="47"/>
    </row>
    <row r="136" spans="1:11" x14ac:dyDescent="0.25">
      <c r="A136" s="41" t="s">
        <v>246</v>
      </c>
      <c r="B136" s="74">
        <f>IF('BIEG - DANE'!L26="Typ F",13+'BIEG - DANE'!L28,IF('BIEG - DANE'!L26="Typ T",14,IF('BIEG - DANE'!L26="Typ Z",61,IF('BIEG - DANE'!L26="Typ P",56))))</f>
        <v>26</v>
      </c>
      <c r="C136" s="42"/>
      <c r="D136" s="42"/>
      <c r="E136" s="42"/>
      <c r="F136" s="42"/>
      <c r="G136" s="42"/>
      <c r="H136" s="42"/>
      <c r="I136" s="42"/>
      <c r="J136" s="42"/>
      <c r="K136" s="47"/>
    </row>
    <row r="137" spans="1:11" ht="15.75" thickBot="1" x14ac:dyDescent="0.3">
      <c r="A137" s="57"/>
      <c r="B137" s="58"/>
      <c r="C137" s="58"/>
      <c r="D137" s="58"/>
      <c r="E137" s="58"/>
      <c r="F137" s="58"/>
      <c r="G137" s="58"/>
      <c r="H137" s="58"/>
      <c r="I137" s="58"/>
      <c r="J137" s="58"/>
      <c r="K137" s="59"/>
    </row>
  </sheetData>
  <mergeCells count="2">
    <mergeCell ref="B110:H110"/>
    <mergeCell ref="B111:H111"/>
  </mergeCells>
  <pageMargins left="0.7" right="0.7" top="0.78740157499999996" bottom="0.78740157499999996"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B23B2-8D27-4FCD-9E44-34E7766221A6}">
  <sheetPr codeName="Tabelle4"/>
  <dimension ref="A1:K63"/>
  <sheetViews>
    <sheetView zoomScale="70" zoomScaleNormal="70" workbookViewId="0">
      <selection activeCell="F148" sqref="F148"/>
    </sheetView>
  </sheetViews>
  <sheetFormatPr baseColWidth="10" defaultColWidth="10.85546875" defaultRowHeight="14.25" x14ac:dyDescent="0.2"/>
  <cols>
    <col min="1" max="1" width="37.28515625" style="243" bestFit="1" customWidth="1"/>
    <col min="2" max="2" width="23.5703125" style="244" bestFit="1" customWidth="1"/>
    <col min="3" max="3" width="14.85546875" style="244" bestFit="1" customWidth="1"/>
    <col min="4" max="4" width="16" style="244" bestFit="1" customWidth="1"/>
    <col min="5" max="5" width="22.5703125" style="244" bestFit="1" customWidth="1"/>
    <col min="6" max="6" width="16" style="243" bestFit="1" customWidth="1"/>
    <col min="7" max="7" width="16" style="243" customWidth="1"/>
    <col min="8" max="8" width="21.7109375" style="243" bestFit="1" customWidth="1"/>
    <col min="9" max="16384" width="10.85546875" style="243"/>
  </cols>
  <sheetData>
    <row r="1" spans="1:9" ht="15" x14ac:dyDescent="0.25">
      <c r="A1" s="1045" t="s">
        <v>247</v>
      </c>
      <c r="B1" s="1046"/>
      <c r="C1" s="1046"/>
      <c r="D1" s="1046"/>
      <c r="E1" s="1047"/>
      <c r="F1" s="855"/>
      <c r="G1" s="855"/>
      <c r="H1" s="276"/>
      <c r="I1" s="277"/>
    </row>
    <row r="2" spans="1:9" x14ac:dyDescent="0.2">
      <c r="A2" s="278" t="s">
        <v>142</v>
      </c>
      <c r="B2" s="264" t="s">
        <v>248</v>
      </c>
      <c r="C2" s="921" t="s">
        <v>249</v>
      </c>
      <c r="D2" s="264"/>
      <c r="E2" s="830"/>
      <c r="F2" s="856"/>
      <c r="G2" s="856"/>
      <c r="H2" s="267"/>
      <c r="I2" s="279"/>
    </row>
    <row r="3" spans="1:9" x14ac:dyDescent="0.2">
      <c r="A3" s="280" t="s">
        <v>48</v>
      </c>
      <c r="B3" s="268" t="s">
        <v>250</v>
      </c>
      <c r="C3" s="828">
        <f>'BIEG - DANE'!E22</f>
        <v>14</v>
      </c>
      <c r="D3" s="268"/>
      <c r="E3" s="848"/>
      <c r="F3" s="267"/>
      <c r="G3" s="267"/>
      <c r="H3" s="267"/>
      <c r="I3" s="279"/>
    </row>
    <row r="4" spans="1:9" x14ac:dyDescent="0.2">
      <c r="A4" s="280" t="s">
        <v>49</v>
      </c>
      <c r="B4" s="268" t="s">
        <v>251</v>
      </c>
      <c r="C4" s="828">
        <f>'BIEG - DANE'!E23</f>
        <v>28</v>
      </c>
      <c r="D4" s="268"/>
      <c r="E4" s="848"/>
      <c r="F4" s="267"/>
      <c r="G4" s="267"/>
      <c r="H4" s="267"/>
      <c r="I4" s="279"/>
    </row>
    <row r="5" spans="1:9" x14ac:dyDescent="0.2">
      <c r="A5" s="280" t="s">
        <v>50</v>
      </c>
      <c r="B5" s="268" t="s">
        <v>252</v>
      </c>
      <c r="C5" s="828">
        <f>'BIEG - DANE'!E24</f>
        <v>17.5</v>
      </c>
      <c r="D5" s="268"/>
      <c r="E5" s="848"/>
      <c r="F5" s="267"/>
      <c r="G5" s="267"/>
      <c r="H5" s="267"/>
      <c r="I5" s="279"/>
    </row>
    <row r="6" spans="1:9" x14ac:dyDescent="0.2">
      <c r="A6" s="280" t="s">
        <v>51</v>
      </c>
      <c r="B6" s="268" t="s">
        <v>253</v>
      </c>
      <c r="C6" s="828">
        <f>'BIEG - DANE'!E25</f>
        <v>20</v>
      </c>
      <c r="D6" s="268"/>
      <c r="E6" s="848"/>
      <c r="F6" s="267"/>
      <c r="G6" s="267"/>
      <c r="H6" s="267"/>
      <c r="I6" s="279"/>
    </row>
    <row r="7" spans="1:9" x14ac:dyDescent="0.2">
      <c r="A7" s="280" t="s">
        <v>52</v>
      </c>
      <c r="B7" s="268" t="s">
        <v>254</v>
      </c>
      <c r="C7" s="828">
        <f>'BIEG - DANE'!E26</f>
        <v>130</v>
      </c>
      <c r="D7" s="268"/>
      <c r="E7" s="848"/>
      <c r="F7" s="267"/>
      <c r="G7" s="267"/>
      <c r="H7" s="267"/>
      <c r="I7" s="279"/>
    </row>
    <row r="8" spans="1:9" x14ac:dyDescent="0.2">
      <c r="A8" s="280" t="s">
        <v>255</v>
      </c>
      <c r="B8" s="268" t="s">
        <v>256</v>
      </c>
      <c r="C8" s="828">
        <f>'BIEG - DANE'!E27</f>
        <v>25</v>
      </c>
      <c r="D8" s="268"/>
      <c r="E8" s="848"/>
      <c r="F8" s="267"/>
      <c r="G8" s="267"/>
      <c r="H8" s="267"/>
      <c r="I8" s="279"/>
    </row>
    <row r="9" spans="1:9" x14ac:dyDescent="0.2">
      <c r="A9" s="280" t="s">
        <v>257</v>
      </c>
      <c r="B9" s="268" t="s">
        <v>258</v>
      </c>
      <c r="C9" s="828">
        <f>'BIEG - DANE'!E28</f>
        <v>22</v>
      </c>
      <c r="D9" s="268"/>
      <c r="E9" s="848"/>
      <c r="F9" s="267"/>
      <c r="G9" s="267"/>
      <c r="H9" s="267"/>
      <c r="I9" s="279"/>
    </row>
    <row r="10" spans="1:9" x14ac:dyDescent="0.2">
      <c r="A10" s="280" t="s">
        <v>259</v>
      </c>
      <c r="B10" s="268" t="s">
        <v>260</v>
      </c>
      <c r="C10" s="828">
        <f>'BIEG - DANE'!E29</f>
        <v>25</v>
      </c>
      <c r="D10" s="268"/>
      <c r="E10" s="848"/>
      <c r="F10" s="267"/>
      <c r="G10" s="267"/>
      <c r="H10" s="267"/>
      <c r="I10" s="279"/>
    </row>
    <row r="11" spans="1:9" x14ac:dyDescent="0.2">
      <c r="A11" s="280" t="s">
        <v>261</v>
      </c>
      <c r="B11" s="268" t="s">
        <v>262</v>
      </c>
      <c r="C11" s="828">
        <f>'BIEG - DANE'!E30</f>
        <v>50</v>
      </c>
      <c r="D11" s="268"/>
      <c r="E11" s="848"/>
      <c r="F11" s="267"/>
      <c r="G11" s="267"/>
      <c r="H11" s="267"/>
      <c r="I11" s="279"/>
    </row>
    <row r="12" spans="1:9" x14ac:dyDescent="0.2">
      <c r="A12" s="280" t="s">
        <v>66</v>
      </c>
      <c r="B12" s="268" t="s">
        <v>263</v>
      </c>
      <c r="C12" s="828">
        <f>IF('BIEG - DANE'!L22="Typ F",'BIEG - DANE'!L23,0)</f>
        <v>15</v>
      </c>
      <c r="D12" s="268"/>
      <c r="E12" s="848"/>
      <c r="F12" s="267"/>
      <c r="G12" s="267"/>
      <c r="H12" s="267"/>
      <c r="I12" s="279"/>
    </row>
    <row r="13" spans="1:9" x14ac:dyDescent="0.2">
      <c r="A13" s="280" t="s">
        <v>67</v>
      </c>
      <c r="B13" s="268" t="s">
        <v>264</v>
      </c>
      <c r="C13" s="828">
        <f>IF('BIEG - DANE'!L22="Typ F",'BIEG - DANE'!L24,0)</f>
        <v>14</v>
      </c>
      <c r="D13" s="268"/>
      <c r="E13" s="848"/>
      <c r="F13" s="267"/>
      <c r="G13" s="267"/>
      <c r="H13" s="267"/>
      <c r="I13" s="279"/>
    </row>
    <row r="14" spans="1:9" x14ac:dyDescent="0.2">
      <c r="A14" s="280" t="s">
        <v>70</v>
      </c>
      <c r="B14" s="268" t="s">
        <v>265</v>
      </c>
      <c r="C14" s="828">
        <f>IF('BIEG - DANE'!L26="Typ F",'BIEG - DANE'!L27,0)</f>
        <v>15</v>
      </c>
      <c r="D14" s="268"/>
      <c r="E14" s="848"/>
      <c r="F14" s="267"/>
      <c r="G14" s="267"/>
      <c r="H14" s="267"/>
      <c r="I14" s="279"/>
    </row>
    <row r="15" spans="1:9" x14ac:dyDescent="0.2">
      <c r="A15" s="280" t="s">
        <v>71</v>
      </c>
      <c r="B15" s="268" t="s">
        <v>266</v>
      </c>
      <c r="C15" s="828">
        <f>IF('BIEG - DANE'!L26="Typ F",'BIEG - DANE'!L28,0)</f>
        <v>13</v>
      </c>
      <c r="D15" s="268"/>
      <c r="E15" s="848"/>
      <c r="F15" s="267"/>
      <c r="G15" s="267"/>
      <c r="H15" s="267"/>
      <c r="I15" s="279"/>
    </row>
    <row r="16" spans="1:9" ht="15" x14ac:dyDescent="0.25">
      <c r="A16" s="1038" t="s">
        <v>267</v>
      </c>
      <c r="B16" s="1039"/>
      <c r="C16" s="1039"/>
      <c r="D16" s="1039"/>
      <c r="E16" s="1040"/>
      <c r="F16" s="853"/>
      <c r="G16" s="853"/>
      <c r="H16" s="267"/>
      <c r="I16" s="279"/>
    </row>
    <row r="17" spans="1:9" x14ac:dyDescent="0.2">
      <c r="A17" s="280" t="s">
        <v>268</v>
      </c>
      <c r="B17" s="268" t="s">
        <v>269</v>
      </c>
      <c r="C17" s="828">
        <f>ATAN(C5/C4)</f>
        <v>0.55859931534356244</v>
      </c>
      <c r="D17" s="922"/>
      <c r="E17" s="848"/>
      <c r="F17" s="267"/>
      <c r="G17" s="267"/>
      <c r="H17" s="267"/>
      <c r="I17" s="279"/>
    </row>
    <row r="18" spans="1:9" x14ac:dyDescent="0.2">
      <c r="A18" s="280" t="s">
        <v>270</v>
      </c>
      <c r="B18" s="268" t="s">
        <v>269</v>
      </c>
      <c r="C18" s="828">
        <f>DEGREES(ATAN(C5/C4))</f>
        <v>32.005383208083494</v>
      </c>
      <c r="D18" s="922"/>
      <c r="E18" s="848"/>
      <c r="F18" s="267"/>
      <c r="G18" s="267"/>
      <c r="H18" s="267"/>
      <c r="I18" s="279"/>
    </row>
    <row r="19" spans="1:9" x14ac:dyDescent="0.2">
      <c r="A19" s="923" t="s">
        <v>271</v>
      </c>
      <c r="B19" s="268" t="s">
        <v>272</v>
      </c>
      <c r="C19" s="828">
        <f>C6/COS(C17)</f>
        <v>23.584952830141507</v>
      </c>
      <c r="D19" s="922"/>
      <c r="E19" s="848"/>
      <c r="F19" s="267"/>
      <c r="G19" s="267"/>
      <c r="H19" s="267"/>
      <c r="I19" s="279"/>
    </row>
    <row r="20" spans="1:9" x14ac:dyDescent="0.2">
      <c r="A20" s="280" t="s">
        <v>273</v>
      </c>
      <c r="B20" s="268" t="s">
        <v>274</v>
      </c>
      <c r="C20" s="828">
        <f>C9+C11+C4*(C3-1)</f>
        <v>436</v>
      </c>
      <c r="D20" s="922"/>
      <c r="E20" s="848"/>
      <c r="F20" s="267"/>
      <c r="G20" s="267"/>
      <c r="H20" s="267"/>
      <c r="I20" s="279"/>
    </row>
    <row r="21" spans="1:9" x14ac:dyDescent="0.2">
      <c r="A21" s="280" t="s">
        <v>275</v>
      </c>
      <c r="B21" s="268" t="s">
        <v>276</v>
      </c>
      <c r="C21" s="828">
        <f>C8+C5*C3</f>
        <v>270</v>
      </c>
      <c r="D21" s="924"/>
      <c r="E21" s="849"/>
      <c r="F21" s="267"/>
      <c r="G21" s="267"/>
      <c r="H21" s="267"/>
      <c r="I21" s="279"/>
    </row>
    <row r="22" spans="1:9" x14ac:dyDescent="0.2">
      <c r="A22" s="280" t="s">
        <v>277</v>
      </c>
      <c r="B22" s="268"/>
      <c r="C22" s="829">
        <f>(C9+C11+((C3-1)*C4))*C7</f>
        <v>56680</v>
      </c>
      <c r="D22" s="925"/>
      <c r="E22" s="850"/>
      <c r="F22" s="267"/>
      <c r="G22" s="267"/>
      <c r="H22" s="267"/>
      <c r="I22" s="279"/>
    </row>
    <row r="23" spans="1:9" ht="15" x14ac:dyDescent="0.25">
      <c r="A23" s="1038" t="s">
        <v>278</v>
      </c>
      <c r="B23" s="1039"/>
      <c r="C23" s="1039"/>
      <c r="D23" s="1039"/>
      <c r="E23" s="1040"/>
      <c r="F23" s="853"/>
      <c r="G23" s="853"/>
      <c r="H23" s="267"/>
      <c r="I23" s="279"/>
    </row>
    <row r="24" spans="1:9" x14ac:dyDescent="0.2">
      <c r="A24" s="923" t="s">
        <v>279</v>
      </c>
      <c r="B24" s="268"/>
      <c r="C24" s="828">
        <f>C9*C8*C7*'BIEG - DANE'!K16/1000000</f>
        <v>1.7875000000000001</v>
      </c>
      <c r="D24" s="922"/>
      <c r="E24" s="848"/>
      <c r="F24" s="267"/>
      <c r="G24" s="267"/>
      <c r="H24" s="267"/>
      <c r="I24" s="279"/>
    </row>
    <row r="25" spans="1:9" x14ac:dyDescent="0.2">
      <c r="A25" s="923" t="s">
        <v>280</v>
      </c>
      <c r="B25" s="268"/>
      <c r="C25" s="828">
        <f>(C19+C5/2)*C4*C7*'BIEG - DANE'!K16/1000000*(C3-1+(C5+C19-C10)/C5)</f>
        <v>40.956801391453311</v>
      </c>
      <c r="D25" s="922"/>
      <c r="E25" s="848"/>
      <c r="F25" s="267"/>
      <c r="G25" s="267"/>
      <c r="H25" s="267"/>
      <c r="I25" s="279"/>
    </row>
    <row r="26" spans="1:9" x14ac:dyDescent="0.2">
      <c r="A26" s="923" t="s">
        <v>281</v>
      </c>
      <c r="B26" s="268"/>
      <c r="C26" s="828">
        <f>(C11-((C5+C19-C10)*C4/C5))*C10*C7*'BIEG - DANE'!K16/1000000</f>
        <v>1.9714561320816046</v>
      </c>
      <c r="D26" s="922"/>
      <c r="E26" s="848"/>
      <c r="F26" s="267"/>
      <c r="G26" s="267"/>
      <c r="H26" s="267"/>
      <c r="I26" s="279"/>
    </row>
    <row r="27" spans="1:9" x14ac:dyDescent="0.2">
      <c r="A27" s="923" t="s">
        <v>282</v>
      </c>
      <c r="B27" s="268"/>
      <c r="C27" s="828">
        <f>(COUNTIF('BIEG - DANE'!L22,"Typ Z"))*15.2*15.8*25.2*2*'BIEG - DANE'!K16/1000000</f>
        <v>0</v>
      </c>
      <c r="D27" s="924"/>
      <c r="E27" s="849"/>
      <c r="F27" s="267"/>
      <c r="G27" s="267"/>
      <c r="H27" s="267"/>
      <c r="I27" s="279"/>
    </row>
    <row r="28" spans="1:9" x14ac:dyDescent="0.2">
      <c r="A28" s="923" t="s">
        <v>283</v>
      </c>
      <c r="B28" s="268"/>
      <c r="C28" s="828">
        <f>(COUNTIF('BIEG - DANE'!L26,"Typ Z"))*15.2*15.8*25.2*2*'BIEG - DANE'!K16/1000000</f>
        <v>0</v>
      </c>
      <c r="D28" s="924"/>
      <c r="E28" s="849"/>
      <c r="F28" s="267"/>
      <c r="G28" s="267"/>
      <c r="H28" s="267"/>
      <c r="I28" s="279"/>
    </row>
    <row r="29" spans="1:9" x14ac:dyDescent="0.2">
      <c r="A29" s="923" t="s">
        <v>284</v>
      </c>
      <c r="B29" s="268"/>
      <c r="C29" s="828">
        <f>SUM(C24:C28)</f>
        <v>44.715757523534919</v>
      </c>
      <c r="D29" s="925"/>
      <c r="E29" s="849"/>
      <c r="F29" s="267"/>
      <c r="G29" s="267"/>
      <c r="H29" s="267"/>
      <c r="I29" s="279"/>
    </row>
    <row r="30" spans="1:9" ht="15" x14ac:dyDescent="0.25">
      <c r="A30" s="1038" t="s">
        <v>285</v>
      </c>
      <c r="B30" s="1039"/>
      <c r="C30" s="1039"/>
      <c r="D30" s="1039"/>
      <c r="E30" s="1040"/>
      <c r="F30" s="853"/>
      <c r="G30" s="853"/>
      <c r="H30" s="267"/>
      <c r="I30" s="279"/>
    </row>
    <row r="31" spans="1:9" x14ac:dyDescent="0.2">
      <c r="A31" s="923" t="s">
        <v>286</v>
      </c>
      <c r="B31" s="268"/>
      <c r="C31" s="268">
        <f>C22*'BIEG - DANE'!K14/10000</f>
        <v>11.336</v>
      </c>
      <c r="D31" s="922"/>
      <c r="E31" s="848"/>
      <c r="F31" s="267"/>
      <c r="G31" s="267"/>
      <c r="H31" s="267"/>
      <c r="I31" s="279"/>
    </row>
    <row r="32" spans="1:9" ht="15" x14ac:dyDescent="0.25">
      <c r="A32" s="1038" t="s">
        <v>287</v>
      </c>
      <c r="B32" s="1039"/>
      <c r="C32" s="1039"/>
      <c r="D32" s="1039"/>
      <c r="E32" s="1040"/>
      <c r="F32" s="853"/>
      <c r="G32" s="853"/>
      <c r="H32" s="267"/>
      <c r="I32" s="279"/>
    </row>
    <row r="33" spans="1:9" x14ac:dyDescent="0.2">
      <c r="A33" s="923" t="s">
        <v>288</v>
      </c>
      <c r="B33" s="268"/>
      <c r="C33" s="828">
        <f>C22*'BIEG - DANE'!K15/10000</f>
        <v>28.34</v>
      </c>
      <c r="D33" s="922"/>
      <c r="E33" s="848"/>
      <c r="F33" s="267"/>
      <c r="G33" s="267"/>
      <c r="H33" s="267"/>
      <c r="I33" s="279"/>
    </row>
    <row r="34" spans="1:9" ht="15.75" thickBot="1" x14ac:dyDescent="0.3">
      <c r="A34" s="1048" t="s">
        <v>289</v>
      </c>
      <c r="B34" s="1049"/>
      <c r="C34" s="1049"/>
      <c r="D34" s="1049"/>
      <c r="E34" s="1050"/>
      <c r="F34" s="853"/>
      <c r="G34" s="853"/>
      <c r="H34" s="267"/>
      <c r="I34" s="279"/>
    </row>
    <row r="35" spans="1:9" ht="15" x14ac:dyDescent="0.25">
      <c r="A35" s="1035"/>
      <c r="B35" s="1032" t="s">
        <v>290</v>
      </c>
      <c r="C35" s="1033"/>
      <c r="D35" s="1034"/>
      <c r="E35" s="1032" t="s">
        <v>291</v>
      </c>
      <c r="F35" s="1033"/>
      <c r="G35" s="1034"/>
      <c r="H35" s="267"/>
      <c r="I35" s="279"/>
    </row>
    <row r="36" spans="1:9" ht="15" thickBot="1" x14ac:dyDescent="0.25">
      <c r="A36" s="1036"/>
      <c r="B36" s="926" t="s">
        <v>292</v>
      </c>
      <c r="C36" s="927" t="s">
        <v>293</v>
      </c>
      <c r="D36" s="834" t="s">
        <v>294</v>
      </c>
      <c r="E36" s="926" t="s">
        <v>292</v>
      </c>
      <c r="F36" s="927" t="s">
        <v>293</v>
      </c>
      <c r="G36" s="834" t="s">
        <v>294</v>
      </c>
      <c r="H36" s="267"/>
      <c r="I36" s="279"/>
    </row>
    <row r="37" spans="1:9" x14ac:dyDescent="0.2">
      <c r="A37" s="928" t="s">
        <v>295</v>
      </c>
      <c r="B37" s="857">
        <f>C9/2</f>
        <v>11</v>
      </c>
      <c r="C37" s="828">
        <f>C24</f>
        <v>1.7875000000000001</v>
      </c>
      <c r="D37" s="833">
        <f>B37*C37</f>
        <v>19.662500000000001</v>
      </c>
      <c r="E37" s="857">
        <f>B37</f>
        <v>11</v>
      </c>
      <c r="F37" s="828">
        <f>C37*1.35</f>
        <v>2.4131250000000004</v>
      </c>
      <c r="G37" s="833">
        <f>B37*F37</f>
        <v>26.544375000000006</v>
      </c>
      <c r="H37" s="1037" t="s">
        <v>116</v>
      </c>
      <c r="I37" s="1029" t="s">
        <v>296</v>
      </c>
    </row>
    <row r="38" spans="1:9" x14ac:dyDescent="0.2">
      <c r="A38" s="928" t="s">
        <v>297</v>
      </c>
      <c r="B38" s="857">
        <f>C9+((C3-1)*C4+((C5+C19-C10)*C4/C5))/2</f>
        <v>216.8679622641132</v>
      </c>
      <c r="C38" s="828">
        <f>C25</f>
        <v>40.956801391453311</v>
      </c>
      <c r="D38" s="833">
        <f t="shared" ref="D38:D42" si="0">B38*C38</f>
        <v>8882.2180586204759</v>
      </c>
      <c r="E38" s="857">
        <f t="shared" ref="E38:E44" si="1">B38</f>
        <v>216.8679622641132</v>
      </c>
      <c r="F38" s="828">
        <f>C38*1.35</f>
        <v>55.291681878461972</v>
      </c>
      <c r="G38" s="833">
        <f>B38*F38</f>
        <v>11990.994379137643</v>
      </c>
      <c r="H38" s="1037"/>
      <c r="I38" s="1030"/>
    </row>
    <row r="39" spans="1:9" x14ac:dyDescent="0.2">
      <c r="A39" s="928" t="s">
        <v>298</v>
      </c>
      <c r="B39" s="857">
        <f>(C3-1)*C4+C9+C11-(C11-((C5+C19-C10)*C4/C5))/2</f>
        <v>423.8679622641132</v>
      </c>
      <c r="C39" s="828">
        <f>C26</f>
        <v>1.9714561320816046</v>
      </c>
      <c r="D39" s="833">
        <f t="shared" si="0"/>
        <v>835.63709339852016</v>
      </c>
      <c r="E39" s="857">
        <f t="shared" si="1"/>
        <v>423.8679622641132</v>
      </c>
      <c r="F39" s="828">
        <f>C39*1.35</f>
        <v>2.6614657783101663</v>
      </c>
      <c r="G39" s="833">
        <f>B39*F39</f>
        <v>1128.1100760880022</v>
      </c>
      <c r="H39" s="1037"/>
      <c r="I39" s="1030"/>
    </row>
    <row r="40" spans="1:9" x14ac:dyDescent="0.2">
      <c r="A40" s="928" t="s">
        <v>299</v>
      </c>
      <c r="B40" s="857">
        <f>C20/2</f>
        <v>218</v>
      </c>
      <c r="C40" s="827">
        <f>C31</f>
        <v>11.336</v>
      </c>
      <c r="D40" s="833">
        <f t="shared" si="0"/>
        <v>2471.248</v>
      </c>
      <c r="E40" s="857">
        <f t="shared" si="1"/>
        <v>218</v>
      </c>
      <c r="F40" s="827">
        <f>C40*1.35</f>
        <v>15.303600000000001</v>
      </c>
      <c r="G40" s="833">
        <f>B40*F40</f>
        <v>3336.1848000000005</v>
      </c>
      <c r="H40" s="1037"/>
      <c r="I40" s="1030"/>
    </row>
    <row r="41" spans="1:9" x14ac:dyDescent="0.2">
      <c r="A41" s="928" t="s">
        <v>300</v>
      </c>
      <c r="B41" s="857">
        <f>-8.2</f>
        <v>-8.1999999999999993</v>
      </c>
      <c r="C41" s="827">
        <f>C27</f>
        <v>0</v>
      </c>
      <c r="D41" s="858">
        <f t="shared" si="0"/>
        <v>0</v>
      </c>
      <c r="E41" s="857">
        <f>B41</f>
        <v>-8.1999999999999993</v>
      </c>
      <c r="F41" s="827">
        <f t="shared" ref="F41:F42" si="2">C41*1.35</f>
        <v>0</v>
      </c>
      <c r="G41" s="858">
        <f t="shared" ref="G41:G42" si="3">B41*F41</f>
        <v>0</v>
      </c>
      <c r="H41" s="1037"/>
      <c r="I41" s="1030"/>
    </row>
    <row r="42" spans="1:9" x14ac:dyDescent="0.2">
      <c r="A42" s="928" t="s">
        <v>301</v>
      </c>
      <c r="B42" s="857">
        <f>C20+8.2</f>
        <v>444.2</v>
      </c>
      <c r="C42" s="827">
        <f>C28</f>
        <v>0</v>
      </c>
      <c r="D42" s="858">
        <f t="shared" si="0"/>
        <v>0</v>
      </c>
      <c r="E42" s="857">
        <f>B42</f>
        <v>444.2</v>
      </c>
      <c r="F42" s="827">
        <f t="shared" si="2"/>
        <v>0</v>
      </c>
      <c r="G42" s="858">
        <f t="shared" si="3"/>
        <v>0</v>
      </c>
      <c r="H42" s="1037"/>
      <c r="I42" s="1030"/>
    </row>
    <row r="43" spans="1:9" ht="15.75" thickBot="1" x14ac:dyDescent="0.3">
      <c r="A43" s="844" t="s">
        <v>116</v>
      </c>
      <c r="B43" s="845">
        <f>SUM(D37:D42)/SUM(C37:C42)</f>
        <v>217.81236113591621</v>
      </c>
      <c r="C43" s="846">
        <f>SUM(C37:C40)</f>
        <v>56.051757523534917</v>
      </c>
      <c r="D43" s="847">
        <f>B43*C43</f>
        <v>12208.765652018996</v>
      </c>
      <c r="E43" s="845">
        <f>SUM(G37:G42)/SUM(F37:F42)</f>
        <v>217.81236113591618</v>
      </c>
      <c r="F43" s="846">
        <f>SUM(F37:F40)</f>
        <v>75.669872656772142</v>
      </c>
      <c r="G43" s="847">
        <f>B43*F43</f>
        <v>16481.833630225647</v>
      </c>
      <c r="H43" s="1037"/>
      <c r="I43" s="1031"/>
    </row>
    <row r="44" spans="1:9" ht="15.75" thickBot="1" x14ac:dyDescent="0.3">
      <c r="A44" s="839" t="s">
        <v>288</v>
      </c>
      <c r="B44" s="831">
        <f>C20/2</f>
        <v>218</v>
      </c>
      <c r="C44" s="832">
        <f>C33</f>
        <v>28.34</v>
      </c>
      <c r="D44" s="840">
        <f>B44*C44</f>
        <v>6178.12</v>
      </c>
      <c r="E44" s="831">
        <f t="shared" si="1"/>
        <v>218</v>
      </c>
      <c r="F44" s="832">
        <f>C44*1.5</f>
        <v>42.51</v>
      </c>
      <c r="G44" s="840">
        <f>B44*F44</f>
        <v>9267.18</v>
      </c>
      <c r="H44" s="929" t="s">
        <v>128</v>
      </c>
      <c r="I44" s="930" t="s">
        <v>302</v>
      </c>
    </row>
    <row r="45" spans="1:9" ht="15.75" thickBot="1" x14ac:dyDescent="0.3">
      <c r="A45" s="835" t="s">
        <v>63</v>
      </c>
      <c r="B45" s="836">
        <f>(D43+D44)/(C43+C44)</f>
        <v>217.8753730409195</v>
      </c>
      <c r="C45" s="837">
        <f>C43+C44</f>
        <v>84.39175752353492</v>
      </c>
      <c r="D45" s="841"/>
      <c r="E45" s="838">
        <f>(G43+G44)/(F43+F44)</f>
        <v>217.87985594643584</v>
      </c>
      <c r="F45" s="837">
        <f>F43+F44</f>
        <v>118.17987265677215</v>
      </c>
      <c r="G45" s="842"/>
      <c r="H45" s="267"/>
      <c r="I45" s="279"/>
    </row>
    <row r="46" spans="1:9" ht="15" x14ac:dyDescent="0.25">
      <c r="A46" s="1045" t="s">
        <v>303</v>
      </c>
      <c r="B46" s="1046"/>
      <c r="C46" s="1046"/>
      <c r="D46" s="1046"/>
      <c r="E46" s="1047"/>
      <c r="F46" s="853"/>
      <c r="G46" s="853"/>
      <c r="H46" s="267"/>
      <c r="I46" s="279"/>
    </row>
    <row r="47" spans="1:9" x14ac:dyDescent="0.2">
      <c r="A47" s="931" t="s">
        <v>304</v>
      </c>
      <c r="B47" s="843">
        <f>(C9-((C8-C19)^2)/(TAN(C17)))/2</f>
        <v>9.3981132056603762</v>
      </c>
      <c r="C47" s="843">
        <f>IF('BIEG - DANE'!$L$22="Typ "&amp;RIGHT(A47,1),Lastermittlung_Lauf!B47,0)</f>
        <v>0</v>
      </c>
      <c r="D47" s="273"/>
      <c r="E47" s="851"/>
      <c r="F47" s="267"/>
      <c r="G47" s="267"/>
      <c r="H47" s="267"/>
      <c r="I47" s="279"/>
    </row>
    <row r="48" spans="1:9" x14ac:dyDescent="0.2">
      <c r="A48" s="923" t="s">
        <v>305</v>
      </c>
      <c r="B48" s="828">
        <v>5.15</v>
      </c>
      <c r="C48" s="828">
        <f>IF('BIEG - DANE'!$L$22="Typ "&amp;RIGHT(A48,1),Lastermittlung_Lauf!B48,0)</f>
        <v>5.15</v>
      </c>
      <c r="D48" s="268"/>
      <c r="E48" s="848"/>
      <c r="F48" s="267"/>
      <c r="G48" s="267"/>
      <c r="H48" s="267"/>
      <c r="I48" s="279"/>
    </row>
    <row r="49" spans="1:11" x14ac:dyDescent="0.2">
      <c r="A49" s="923" t="s">
        <v>306</v>
      </c>
      <c r="B49" s="828">
        <v>0</v>
      </c>
      <c r="C49" s="828">
        <f>IF('BIEG - DANE'!$L$22="Typ "&amp;RIGHT(A49,1),Lastermittlung_Lauf!B49,0)</f>
        <v>0</v>
      </c>
      <c r="D49" s="268"/>
      <c r="E49" s="848"/>
      <c r="F49" s="267"/>
      <c r="G49" s="267"/>
      <c r="H49" s="267"/>
      <c r="I49" s="279"/>
    </row>
    <row r="50" spans="1:11" x14ac:dyDescent="0.2">
      <c r="A50" s="923" t="s">
        <v>307</v>
      </c>
      <c r="B50" s="828">
        <v>-8.1999999999999993</v>
      </c>
      <c r="C50" s="828">
        <f>IF('BIEG - DANE'!$L$22="Typ "&amp;RIGHT(A50,1),Lastermittlung_Lauf!B50,0)</f>
        <v>0</v>
      </c>
      <c r="D50" s="268"/>
      <c r="E50" s="848"/>
      <c r="F50" s="267"/>
      <c r="G50" s="267"/>
      <c r="H50" s="267"/>
      <c r="I50" s="279"/>
    </row>
    <row r="51" spans="1:11" x14ac:dyDescent="0.2">
      <c r="A51" s="932" t="s">
        <v>308</v>
      </c>
      <c r="B51" s="829">
        <f>-5.1-'BIEG - DANE'!L25</f>
        <v>-6.6</v>
      </c>
      <c r="C51" s="829">
        <f>IF('BIEG - DANE'!$L$22="Typ "&amp;RIGHT(A51,1),Lastermittlung_Lauf!B51,0)</f>
        <v>0</v>
      </c>
      <c r="D51" s="272"/>
      <c r="E51" s="852"/>
      <c r="F51" s="267"/>
      <c r="G51" s="267"/>
      <c r="H51" s="267"/>
      <c r="I51" s="279"/>
    </row>
    <row r="52" spans="1:11" x14ac:dyDescent="0.2">
      <c r="A52" s="931" t="s">
        <v>309</v>
      </c>
      <c r="B52" s="843">
        <v>5.15</v>
      </c>
      <c r="C52" s="843">
        <f>IF('BIEG - DANE'!$L$26="Typ "&amp;RIGHT(A52,1),Lastermittlung_Lauf!B52,0)</f>
        <v>5.15</v>
      </c>
      <c r="D52" s="273"/>
      <c r="E52" s="851"/>
      <c r="F52" s="267"/>
      <c r="G52" s="267"/>
      <c r="H52" s="267"/>
      <c r="I52" s="279"/>
    </row>
    <row r="53" spans="1:11" x14ac:dyDescent="0.2">
      <c r="A53" s="923" t="s">
        <v>310</v>
      </c>
      <c r="B53" s="828">
        <v>0</v>
      </c>
      <c r="C53" s="828">
        <f>IF('BIEG - DANE'!$L$26="Typ "&amp;RIGHT(A53,1),Lastermittlung_Lauf!B53,0)</f>
        <v>0</v>
      </c>
      <c r="D53" s="268"/>
      <c r="E53" s="848"/>
      <c r="F53" s="267"/>
      <c r="G53" s="267"/>
      <c r="H53" s="267"/>
      <c r="I53" s="279"/>
    </row>
    <row r="54" spans="1:11" x14ac:dyDescent="0.2">
      <c r="A54" s="923" t="s">
        <v>311</v>
      </c>
      <c r="B54" s="828">
        <v>-8.1999999999999993</v>
      </c>
      <c r="C54" s="828">
        <f>IF('BIEG - DANE'!$L$26="Typ "&amp;RIGHT(A54,1),Lastermittlung_Lauf!B54,0)</f>
        <v>0</v>
      </c>
      <c r="D54" s="268"/>
      <c r="E54" s="848"/>
      <c r="F54" s="267"/>
      <c r="G54" s="267"/>
      <c r="H54" s="267"/>
      <c r="I54" s="279"/>
    </row>
    <row r="55" spans="1:11" x14ac:dyDescent="0.2">
      <c r="A55" s="932" t="s">
        <v>312</v>
      </c>
      <c r="B55" s="829">
        <f>-5.1-'BIEG - DANE'!L29</f>
        <v>-6.6</v>
      </c>
      <c r="C55" s="829">
        <f>IF('BIEG - DANE'!$L$26="Typ "&amp;RIGHT(A55,1),Lastermittlung_Lauf!B55,0)</f>
        <v>0</v>
      </c>
      <c r="D55" s="272"/>
      <c r="E55" s="852"/>
      <c r="F55" s="267"/>
      <c r="G55" s="267"/>
      <c r="H55" s="267"/>
      <c r="I55" s="279"/>
    </row>
    <row r="56" spans="1:11" ht="15" x14ac:dyDescent="0.25">
      <c r="A56" s="1038" t="s">
        <v>313</v>
      </c>
      <c r="B56" s="1039"/>
      <c r="C56" s="1039"/>
      <c r="D56" s="1039"/>
      <c r="E56" s="1040"/>
      <c r="F56" s="933"/>
      <c r="G56" s="933"/>
      <c r="H56" s="267"/>
      <c r="I56" s="279"/>
    </row>
    <row r="57" spans="1:11" ht="15" x14ac:dyDescent="0.25">
      <c r="A57" s="450" t="s">
        <v>314</v>
      </c>
      <c r="B57" s="288"/>
      <c r="C57" s="1041">
        <f>F45-Lastermittlung_Lauf!C58</f>
        <v>59.123289884765398</v>
      </c>
      <c r="D57" s="1041"/>
      <c r="E57" s="1042"/>
      <c r="F57" s="854"/>
      <c r="G57" s="854"/>
      <c r="H57" s="267"/>
      <c r="I57" s="279"/>
      <c r="K57" s="447"/>
    </row>
    <row r="58" spans="1:11" ht="15" x14ac:dyDescent="0.25">
      <c r="A58" s="450" t="s">
        <v>315</v>
      </c>
      <c r="B58" s="288"/>
      <c r="C58" s="1041">
        <f>F45*(E45-SUM(Lastermittlung_Lauf!C47:C51))/(Lastermittlung_Lauf!C20-SUM(Lastermittlung_Lauf!C47:C55))</f>
        <v>59.056582772006749</v>
      </c>
      <c r="D58" s="1041"/>
      <c r="E58" s="1042"/>
      <c r="F58" s="854"/>
      <c r="G58" s="854"/>
      <c r="H58" s="267"/>
      <c r="I58" s="279"/>
    </row>
    <row r="59" spans="1:11" ht="15" x14ac:dyDescent="0.25">
      <c r="A59" s="1038" t="s">
        <v>316</v>
      </c>
      <c r="B59" s="1039"/>
      <c r="C59" s="1039"/>
      <c r="D59" s="1039"/>
      <c r="E59" s="1040"/>
      <c r="F59" s="933"/>
      <c r="G59" s="933"/>
      <c r="H59" s="267"/>
      <c r="I59" s="279"/>
    </row>
    <row r="60" spans="1:11" ht="15" x14ac:dyDescent="0.25">
      <c r="A60" s="450" t="s">
        <v>314</v>
      </c>
      <c r="B60" s="288"/>
      <c r="C60" s="1041">
        <f>C43-C61</f>
        <v>28.050585099826225</v>
      </c>
      <c r="D60" s="1041"/>
      <c r="E60" s="1042"/>
      <c r="F60" s="854"/>
      <c r="G60" s="854"/>
      <c r="H60" s="267"/>
      <c r="I60" s="279"/>
      <c r="K60" s="447"/>
    </row>
    <row r="61" spans="1:11" ht="15.75" thickBot="1" x14ac:dyDescent="0.3">
      <c r="A61" s="451" t="s">
        <v>315</v>
      </c>
      <c r="B61" s="452"/>
      <c r="C61" s="1043">
        <f>C43*(B43-SUM(Lastermittlung_Lauf!C47:C51))/(Lastermittlung_Lauf!C20-SUM(Lastermittlung_Lauf!C47:C55))</f>
        <v>28.001172423708692</v>
      </c>
      <c r="D61" s="1043"/>
      <c r="E61" s="1044"/>
      <c r="F61" s="854"/>
      <c r="G61" s="854"/>
      <c r="H61" s="267"/>
      <c r="I61" s="279"/>
    </row>
    <row r="62" spans="1:11" x14ac:dyDescent="0.2">
      <c r="A62" s="282"/>
      <c r="B62" s="266"/>
      <c r="C62" s="266"/>
      <c r="D62" s="266"/>
      <c r="E62" s="266"/>
      <c r="F62" s="267"/>
      <c r="G62" s="267"/>
      <c r="H62" s="267"/>
      <c r="I62" s="279"/>
    </row>
    <row r="63" spans="1:11" ht="15" thickBot="1" x14ac:dyDescent="0.25">
      <c r="A63" s="283"/>
      <c r="B63" s="284"/>
      <c r="C63" s="284"/>
      <c r="D63" s="284"/>
      <c r="E63" s="284"/>
      <c r="F63" s="285"/>
      <c r="G63" s="285"/>
      <c r="H63" s="285"/>
      <c r="I63" s="286"/>
    </row>
  </sheetData>
  <mergeCells count="18">
    <mergeCell ref="A46:E46"/>
    <mergeCell ref="A56:E56"/>
    <mergeCell ref="A1:E1"/>
    <mergeCell ref="A16:E16"/>
    <mergeCell ref="A23:E23"/>
    <mergeCell ref="A30:E30"/>
    <mergeCell ref="A34:E34"/>
    <mergeCell ref="A32:E32"/>
    <mergeCell ref="A59:E59"/>
    <mergeCell ref="C60:E60"/>
    <mergeCell ref="C61:E61"/>
    <mergeCell ref="C57:E57"/>
    <mergeCell ref="C58:E58"/>
    <mergeCell ref="I37:I43"/>
    <mergeCell ref="E35:G35"/>
    <mergeCell ref="B35:D35"/>
    <mergeCell ref="A35:A36"/>
    <mergeCell ref="H37:H43"/>
  </mergeCells>
  <pageMargins left="0.7" right="0.7" top="0.78740157499999996" bottom="0.78740157499999996"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622F5-46B8-407A-892F-12AE5AAC8975}">
  <sheetPr codeName="Tabelle17"/>
  <dimension ref="A1:AA142"/>
  <sheetViews>
    <sheetView zoomScale="55" zoomScaleNormal="55" workbookViewId="0">
      <selection activeCell="F148" sqref="F148"/>
    </sheetView>
  </sheetViews>
  <sheetFormatPr baseColWidth="10" defaultColWidth="11.42578125" defaultRowHeight="15" x14ac:dyDescent="0.25"/>
  <cols>
    <col min="1" max="2" width="10.85546875" style="236"/>
    <col min="3" max="3" width="15.140625" style="236" customWidth="1"/>
    <col min="4" max="4" width="15.7109375" style="236" customWidth="1"/>
    <col min="5" max="6" width="10.85546875" style="236"/>
    <col min="7" max="9" width="11.42578125" style="236" customWidth="1"/>
    <col min="10" max="12" width="10.85546875" style="236"/>
    <col min="13" max="13" width="11.42578125" style="236"/>
    <col min="14" max="14" width="14.140625" style="236" bestFit="1" customWidth="1"/>
    <col min="15" max="17" width="11.42578125" style="236"/>
    <col min="18" max="18" width="10.85546875" style="236" customWidth="1"/>
    <col min="22" max="22" width="16.7109375" bestFit="1" customWidth="1"/>
    <col min="23" max="23" width="13.28515625" bestFit="1" customWidth="1"/>
  </cols>
  <sheetData>
    <row r="1" spans="1:18" x14ac:dyDescent="0.25">
      <c r="A1" s="32" t="s">
        <v>317</v>
      </c>
      <c r="B1" s="33"/>
      <c r="C1" s="103"/>
      <c r="D1" s="103"/>
      <c r="E1" s="103"/>
      <c r="F1" s="103"/>
      <c r="G1" s="103"/>
      <c r="H1" s="103"/>
      <c r="I1" s="103"/>
      <c r="J1" s="103"/>
      <c r="K1" s="103"/>
      <c r="L1" s="103"/>
      <c r="M1" s="103"/>
      <c r="N1" s="103"/>
      <c r="O1" s="103"/>
      <c r="P1" s="103"/>
      <c r="Q1" s="103"/>
      <c r="R1" s="104"/>
    </row>
    <row r="2" spans="1:18" x14ac:dyDescent="0.25">
      <c r="A2" s="34"/>
      <c r="B2" s="35" t="s">
        <v>318</v>
      </c>
      <c r="C2" s="36" t="s">
        <v>57</v>
      </c>
      <c r="D2" s="90" t="s">
        <v>319</v>
      </c>
      <c r="E2" s="90"/>
      <c r="F2" s="91">
        <v>25</v>
      </c>
      <c r="G2" s="92" t="s">
        <v>320</v>
      </c>
      <c r="H2" s="36" t="s">
        <v>321</v>
      </c>
      <c r="I2" s="93"/>
      <c r="J2" s="90" t="s">
        <v>322</v>
      </c>
      <c r="K2" s="90"/>
      <c r="L2" s="92">
        <v>1.35</v>
      </c>
      <c r="M2" s="92"/>
      <c r="N2" s="92"/>
      <c r="O2" s="92"/>
      <c r="P2" s="92"/>
      <c r="Q2" s="92"/>
      <c r="R2" s="94"/>
    </row>
    <row r="3" spans="1:18" x14ac:dyDescent="0.25">
      <c r="A3" s="34"/>
      <c r="B3" s="36"/>
      <c r="C3" s="93"/>
      <c r="D3" s="90" t="s">
        <v>58</v>
      </c>
      <c r="E3" s="90"/>
      <c r="F3" s="95">
        <f>'BIEG - DANE'!K14</f>
        <v>2</v>
      </c>
      <c r="G3" s="92" t="s">
        <v>323</v>
      </c>
      <c r="H3" s="93"/>
      <c r="I3" s="93"/>
      <c r="J3" s="90" t="s">
        <v>324</v>
      </c>
      <c r="K3" s="90"/>
      <c r="L3" s="92">
        <v>1.5</v>
      </c>
      <c r="M3" s="92"/>
      <c r="N3" s="92"/>
      <c r="O3" s="92"/>
      <c r="P3" s="92"/>
      <c r="Q3" s="92"/>
      <c r="R3" s="94"/>
    </row>
    <row r="4" spans="1:18" x14ac:dyDescent="0.25">
      <c r="A4" s="34"/>
      <c r="B4" s="36"/>
      <c r="C4" s="93"/>
      <c r="D4" s="90" t="s">
        <v>59</v>
      </c>
      <c r="E4" s="90"/>
      <c r="F4" s="95">
        <f>'BIEG - DANE'!K15</f>
        <v>5</v>
      </c>
      <c r="G4" s="92" t="s">
        <v>323</v>
      </c>
      <c r="H4" s="96"/>
      <c r="I4" s="96"/>
      <c r="J4" s="96"/>
      <c r="K4" s="96"/>
      <c r="L4" s="96"/>
      <c r="M4" s="96"/>
      <c r="N4" s="96"/>
      <c r="O4" s="96"/>
      <c r="P4" s="96"/>
      <c r="Q4" s="96"/>
      <c r="R4" s="97"/>
    </row>
    <row r="5" spans="1:18" x14ac:dyDescent="0.25">
      <c r="A5" s="37"/>
      <c r="B5" s="38" t="s">
        <v>186</v>
      </c>
      <c r="C5" s="48" t="s">
        <v>44</v>
      </c>
      <c r="D5" s="79" t="s">
        <v>325</v>
      </c>
      <c r="E5" s="98"/>
      <c r="F5" s="99">
        <f>'BIEG - DANE'!E19/100</f>
        <v>5.1283135629561505</v>
      </c>
      <c r="G5" s="28" t="s">
        <v>326</v>
      </c>
      <c r="H5" s="93"/>
      <c r="I5" s="93"/>
      <c r="J5" s="24" t="s">
        <v>327</v>
      </c>
      <c r="K5" s="90"/>
      <c r="L5" s="95">
        <f>'BIEG - DANE'!E26/100</f>
        <v>1.3</v>
      </c>
      <c r="M5" s="95" t="s">
        <v>328</v>
      </c>
      <c r="N5" s="95"/>
      <c r="O5" s="92"/>
      <c r="P5" s="92"/>
      <c r="Q5" s="92"/>
      <c r="R5" s="94"/>
    </row>
    <row r="6" spans="1:18" x14ac:dyDescent="0.25">
      <c r="A6" s="34"/>
      <c r="B6" s="36"/>
      <c r="C6" s="93"/>
      <c r="D6" s="24" t="s">
        <v>329</v>
      </c>
      <c r="E6" s="90"/>
      <c r="F6" s="95">
        <f>'BIEG - DANE'!E20/100</f>
        <v>4.3600000000000003</v>
      </c>
      <c r="G6" s="29" t="s">
        <v>326</v>
      </c>
      <c r="H6" s="93"/>
      <c r="I6" s="93"/>
      <c r="J6" s="24" t="s">
        <v>330</v>
      </c>
      <c r="K6" s="90"/>
      <c r="L6" s="95">
        <f>'BIEG - DANE'!E23/100</f>
        <v>0.28000000000000003</v>
      </c>
      <c r="M6" s="95" t="s">
        <v>328</v>
      </c>
      <c r="N6" s="95"/>
      <c r="O6" s="92"/>
      <c r="P6" s="92"/>
      <c r="Q6" s="92"/>
      <c r="R6" s="94"/>
    </row>
    <row r="7" spans="1:18" x14ac:dyDescent="0.25">
      <c r="A7" s="34"/>
      <c r="B7" s="36"/>
      <c r="C7" s="93"/>
      <c r="D7" s="24" t="s">
        <v>331</v>
      </c>
      <c r="E7" s="90"/>
      <c r="F7" s="95">
        <f>'BIEG - DANE'!E21/100</f>
        <v>2.7</v>
      </c>
      <c r="G7" s="30" t="s">
        <v>328</v>
      </c>
      <c r="H7" s="93"/>
      <c r="I7" s="93"/>
      <c r="J7" s="24" t="s">
        <v>332</v>
      </c>
      <c r="K7" s="90"/>
      <c r="L7" s="95">
        <f>'BIEG - DANE'!E24/100</f>
        <v>0.17499999999999999</v>
      </c>
      <c r="M7" s="95" t="s">
        <v>328</v>
      </c>
      <c r="N7" s="95"/>
      <c r="O7" s="92"/>
      <c r="P7" s="92"/>
      <c r="Q7" s="92"/>
      <c r="R7" s="94"/>
    </row>
    <row r="8" spans="1:18" x14ac:dyDescent="0.25">
      <c r="A8" s="34"/>
      <c r="B8" s="36"/>
      <c r="C8" s="93"/>
      <c r="D8" s="24" t="s">
        <v>333</v>
      </c>
      <c r="E8" s="90"/>
      <c r="F8" s="95">
        <f>'BIEG - DANE'!E25/100</f>
        <v>0.2</v>
      </c>
      <c r="G8" s="30" t="s">
        <v>328</v>
      </c>
      <c r="H8" s="93"/>
      <c r="I8" s="93"/>
      <c r="J8" s="24" t="s">
        <v>334</v>
      </c>
      <c r="K8" s="90"/>
      <c r="L8" s="91">
        <f>'BIEG - DANE'!E22</f>
        <v>14</v>
      </c>
      <c r="M8" s="91" t="s">
        <v>335</v>
      </c>
      <c r="N8" s="91"/>
      <c r="O8" s="92"/>
      <c r="P8" s="92"/>
      <c r="Q8" s="92"/>
      <c r="R8" s="94"/>
    </row>
    <row r="9" spans="1:18" x14ac:dyDescent="0.25">
      <c r="A9" s="34"/>
      <c r="B9" s="36"/>
      <c r="C9" s="93"/>
      <c r="D9" s="24" t="s">
        <v>41</v>
      </c>
      <c r="E9" s="90"/>
      <c r="F9" s="95" t="str">
        <f>'BIEG - DANE'!D14</f>
        <v>R 120</v>
      </c>
      <c r="G9" s="30"/>
      <c r="H9" s="93"/>
      <c r="I9" s="1091" t="s">
        <v>336</v>
      </c>
      <c r="J9" s="79" t="s">
        <v>337</v>
      </c>
      <c r="K9" s="98"/>
      <c r="L9" s="106">
        <f>'BIEG - DANE'!L23*10</f>
        <v>150</v>
      </c>
      <c r="M9" s="106" t="s">
        <v>338</v>
      </c>
      <c r="N9" s="106"/>
      <c r="O9" s="308"/>
      <c r="P9" s="308"/>
      <c r="Q9" s="308"/>
      <c r="R9" s="105"/>
    </row>
    <row r="10" spans="1:18" x14ac:dyDescent="0.25">
      <c r="A10" s="34"/>
      <c r="B10" s="36"/>
      <c r="C10" s="93"/>
      <c r="D10" s="24" t="s">
        <v>42</v>
      </c>
      <c r="E10" s="90"/>
      <c r="F10" s="95" t="str">
        <f>'BIEG - DANE'!D15</f>
        <v>Beton monolityczny</v>
      </c>
      <c r="G10" s="30"/>
      <c r="H10" s="93"/>
      <c r="I10" s="1092"/>
      <c r="J10" s="25" t="s">
        <v>339</v>
      </c>
      <c r="K10" s="100"/>
      <c r="L10" s="107">
        <f>'BIEG - DANE'!L24*10</f>
        <v>140</v>
      </c>
      <c r="M10" s="107" t="s">
        <v>338</v>
      </c>
      <c r="N10" s="107"/>
      <c r="O10" s="114"/>
      <c r="P10" s="114"/>
      <c r="Q10" s="114"/>
      <c r="R10" s="108"/>
    </row>
    <row r="11" spans="1:18" x14ac:dyDescent="0.25">
      <c r="A11" s="34"/>
      <c r="B11" s="36"/>
      <c r="C11" s="93"/>
      <c r="D11" s="24"/>
      <c r="E11" s="90"/>
      <c r="F11" s="95"/>
      <c r="G11" s="30"/>
      <c r="H11" s="93"/>
      <c r="I11" s="1091" t="s">
        <v>340</v>
      </c>
      <c r="J11" s="79" t="s">
        <v>337</v>
      </c>
      <c r="K11" s="90"/>
      <c r="L11" s="106">
        <f>'BIEG - DANE'!L27*10</f>
        <v>150</v>
      </c>
      <c r="M11" s="106" t="s">
        <v>338</v>
      </c>
      <c r="N11" s="106"/>
      <c r="O11" s="308"/>
      <c r="P11" s="308"/>
      <c r="Q11" s="308"/>
      <c r="R11" s="105"/>
    </row>
    <row r="12" spans="1:18" x14ac:dyDescent="0.25">
      <c r="A12" s="39"/>
      <c r="B12" s="40"/>
      <c r="C12" s="96"/>
      <c r="D12" s="25"/>
      <c r="E12" s="100"/>
      <c r="F12" s="101"/>
      <c r="G12" s="31"/>
      <c r="H12" s="96"/>
      <c r="I12" s="1092"/>
      <c r="J12" s="25" t="s">
        <v>339</v>
      </c>
      <c r="K12" s="100"/>
      <c r="L12" s="107">
        <f>'BIEG - DANE'!L28*10</f>
        <v>130</v>
      </c>
      <c r="M12" s="107" t="s">
        <v>338</v>
      </c>
      <c r="N12" s="107"/>
      <c r="O12" s="114"/>
      <c r="P12" s="114"/>
      <c r="Q12" s="114"/>
      <c r="R12" s="108"/>
    </row>
    <row r="13" spans="1:18" x14ac:dyDescent="0.25">
      <c r="A13" s="109"/>
      <c r="B13" s="35" t="s">
        <v>341</v>
      </c>
      <c r="C13" s="36" t="s">
        <v>63</v>
      </c>
      <c r="D13" s="309"/>
      <c r="E13" s="310"/>
      <c r="F13" s="311"/>
      <c r="G13" s="311"/>
      <c r="H13" s="311"/>
      <c r="I13" s="311"/>
      <c r="J13" s="93"/>
      <c r="K13" s="93"/>
      <c r="L13" s="93"/>
      <c r="M13" s="93"/>
      <c r="N13" s="93"/>
      <c r="O13" s="93"/>
      <c r="P13" s="93"/>
      <c r="Q13" s="93"/>
      <c r="R13" s="110"/>
    </row>
    <row r="14" spans="1:18" x14ac:dyDescent="0.25">
      <c r="A14" s="109"/>
      <c r="B14" s="93"/>
      <c r="C14" s="312" t="s">
        <v>342</v>
      </c>
      <c r="D14" s="313" t="s">
        <v>343</v>
      </c>
      <c r="E14" s="314"/>
      <c r="F14" s="315"/>
      <c r="G14" s="315"/>
      <c r="H14" s="315"/>
      <c r="I14" s="315"/>
      <c r="J14" s="90"/>
      <c r="K14" s="90"/>
      <c r="L14" s="90"/>
      <c r="M14" s="90"/>
      <c r="N14" s="90"/>
      <c r="O14" s="90"/>
      <c r="P14" s="90"/>
      <c r="Q14" s="90"/>
      <c r="R14" s="111"/>
    </row>
    <row r="15" spans="1:18" x14ac:dyDescent="0.25">
      <c r="A15" s="112"/>
      <c r="B15" s="96"/>
      <c r="C15" s="22"/>
      <c r="D15" s="116">
        <f>'BIEG - DANE'!K19</f>
        <v>0</v>
      </c>
      <c r="E15" s="113" t="s">
        <v>185</v>
      </c>
      <c r="F15" s="115"/>
      <c r="G15" s="115"/>
      <c r="H15" s="115"/>
      <c r="I15" s="115"/>
      <c r="J15" s="114"/>
      <c r="K15" s="114"/>
      <c r="L15" s="114"/>
      <c r="M15" s="114"/>
      <c r="N15" s="114"/>
      <c r="O15" s="114"/>
      <c r="P15" s="114"/>
      <c r="Q15" s="114"/>
      <c r="R15" s="108"/>
    </row>
    <row r="16" spans="1:18" x14ac:dyDescent="0.25">
      <c r="A16" s="109"/>
      <c r="B16" s="35" t="s">
        <v>344</v>
      </c>
      <c r="C16" s="36" t="s">
        <v>345</v>
      </c>
      <c r="D16" s="309"/>
      <c r="E16" s="310"/>
      <c r="F16" s="311"/>
      <c r="G16" s="311"/>
      <c r="H16" s="311"/>
      <c r="I16" s="311"/>
      <c r="J16" s="93"/>
      <c r="K16" s="93"/>
      <c r="L16" s="93"/>
      <c r="M16" s="93"/>
      <c r="N16" s="93"/>
      <c r="O16" s="93"/>
      <c r="P16" s="93"/>
      <c r="Q16" s="93"/>
      <c r="R16" s="110"/>
    </row>
    <row r="17" spans="1:18" x14ac:dyDescent="0.25">
      <c r="A17" s="109"/>
      <c r="B17" s="93"/>
      <c r="C17" s="312" t="s">
        <v>346</v>
      </c>
      <c r="D17" s="313"/>
      <c r="E17" s="314"/>
      <c r="F17" s="315"/>
      <c r="G17" s="315"/>
      <c r="H17" s="315"/>
      <c r="I17" s="315"/>
      <c r="J17" s="90"/>
      <c r="K17" s="90"/>
      <c r="L17" s="90"/>
      <c r="M17" s="90"/>
      <c r="N17" s="90"/>
      <c r="O17" s="90"/>
      <c r="P17" s="90"/>
      <c r="Q17" s="90"/>
      <c r="R17" s="111"/>
    </row>
    <row r="18" spans="1:18" x14ac:dyDescent="0.25">
      <c r="A18" s="112"/>
      <c r="B18" s="96"/>
      <c r="C18" s="22"/>
      <c r="D18" s="116">
        <f>Lastermittlung_Lauf!C57</f>
        <v>59.123289884765398</v>
      </c>
      <c r="E18" s="113" t="s">
        <v>185</v>
      </c>
      <c r="F18" s="115"/>
      <c r="G18" s="115"/>
      <c r="H18" s="115"/>
      <c r="I18" s="115"/>
      <c r="J18" s="114"/>
      <c r="K18" s="114"/>
      <c r="L18" s="114"/>
      <c r="M18" s="114"/>
      <c r="N18" s="114"/>
      <c r="O18" s="114"/>
      <c r="P18" s="114"/>
      <c r="Q18" s="114"/>
      <c r="R18" s="108"/>
    </row>
    <row r="19" spans="1:18" x14ac:dyDescent="0.25">
      <c r="A19" s="109"/>
      <c r="B19" s="35" t="s">
        <v>344</v>
      </c>
      <c r="C19" s="36" t="s">
        <v>347</v>
      </c>
      <c r="D19" s="309"/>
      <c r="E19" s="310"/>
      <c r="F19" s="311"/>
      <c r="G19" s="311"/>
      <c r="H19" s="311"/>
      <c r="I19" s="311"/>
      <c r="J19" s="93"/>
      <c r="K19" s="93"/>
      <c r="L19" s="93"/>
      <c r="M19" s="93"/>
      <c r="N19" s="93"/>
      <c r="O19" s="93"/>
      <c r="P19" s="93"/>
      <c r="Q19" s="93"/>
      <c r="R19" s="110"/>
    </row>
    <row r="20" spans="1:18" x14ac:dyDescent="0.25">
      <c r="A20" s="109"/>
      <c r="B20" s="93"/>
      <c r="C20" s="312" t="s">
        <v>346</v>
      </c>
      <c r="D20" s="313"/>
      <c r="E20" s="314"/>
      <c r="F20" s="315"/>
      <c r="G20" s="315"/>
      <c r="H20" s="315"/>
      <c r="I20" s="315"/>
      <c r="J20" s="90"/>
      <c r="K20" s="90"/>
      <c r="L20" s="90"/>
      <c r="M20" s="90"/>
      <c r="N20" s="90"/>
      <c r="O20" s="90"/>
      <c r="P20" s="90"/>
      <c r="Q20" s="90"/>
      <c r="R20" s="111"/>
    </row>
    <row r="21" spans="1:18" x14ac:dyDescent="0.25">
      <c r="A21" s="112"/>
      <c r="B21" s="96"/>
      <c r="C21" s="22"/>
      <c r="D21" s="116">
        <f>Lastermittlung_Lauf!C58</f>
        <v>59.056582772006749</v>
      </c>
      <c r="E21" s="113" t="s">
        <v>185</v>
      </c>
      <c r="F21" s="115"/>
      <c r="G21" s="115"/>
      <c r="H21" s="115"/>
      <c r="I21" s="115"/>
      <c r="J21" s="114"/>
      <c r="K21" s="114"/>
      <c r="L21" s="114"/>
      <c r="M21" s="114"/>
      <c r="N21" s="114"/>
      <c r="O21" s="114"/>
      <c r="P21" s="114"/>
      <c r="Q21" s="114"/>
      <c r="R21" s="108"/>
    </row>
    <row r="22" spans="1:18" x14ac:dyDescent="0.25">
      <c r="A22" s="37" t="s">
        <v>348</v>
      </c>
      <c r="B22" s="48"/>
      <c r="C22" s="117"/>
      <c r="D22" s="117"/>
      <c r="E22" s="117"/>
      <c r="F22" s="117"/>
      <c r="G22" s="117"/>
      <c r="H22" s="117"/>
      <c r="I22" s="117"/>
      <c r="J22" s="117"/>
      <c r="K22" s="117"/>
      <c r="L22" s="117"/>
      <c r="M22" s="117"/>
      <c r="N22" s="117"/>
      <c r="O22" s="117"/>
      <c r="P22" s="117"/>
      <c r="Q22" s="117"/>
      <c r="R22" s="118"/>
    </row>
    <row r="23" spans="1:18" ht="15.75" thickBot="1" x14ac:dyDescent="0.3">
      <c r="A23" s="34"/>
      <c r="B23" s="53" t="s">
        <v>208</v>
      </c>
      <c r="C23" s="316" t="s">
        <v>349</v>
      </c>
      <c r="D23" s="93"/>
      <c r="E23" s="93"/>
      <c r="F23" s="93"/>
      <c r="G23" s="93"/>
      <c r="H23" s="93"/>
      <c r="I23" s="93"/>
      <c r="J23" s="93"/>
      <c r="K23" s="93"/>
      <c r="L23" s="93"/>
      <c r="M23" s="93"/>
      <c r="N23" s="93"/>
      <c r="O23" s="93"/>
      <c r="P23" s="93"/>
      <c r="Q23" s="93"/>
      <c r="R23" s="110"/>
    </row>
    <row r="24" spans="1:18" x14ac:dyDescent="0.25">
      <c r="A24" s="109"/>
      <c r="B24" s="93"/>
      <c r="C24" s="1093" t="s">
        <v>350</v>
      </c>
      <c r="D24" s="1094"/>
      <c r="E24" s="1094"/>
      <c r="F24" s="1094"/>
      <c r="G24" s="1094"/>
      <c r="H24" s="1094"/>
      <c r="I24" s="1094"/>
      <c r="J24" s="1094"/>
      <c r="K24" s="1095"/>
      <c r="L24" s="93"/>
      <c r="M24" s="93"/>
      <c r="N24" s="93"/>
      <c r="O24" s="93"/>
      <c r="P24" s="93"/>
      <c r="Q24" s="93"/>
      <c r="R24" s="110"/>
    </row>
    <row r="25" spans="1:18" ht="15.75" thickBot="1" x14ac:dyDescent="0.3">
      <c r="A25" s="109"/>
      <c r="B25" s="93"/>
      <c r="C25" s="1096" t="s">
        <v>351</v>
      </c>
      <c r="D25" s="1097"/>
      <c r="E25" s="1097"/>
      <c r="F25" s="1097"/>
      <c r="G25" s="1097"/>
      <c r="H25" s="1097"/>
      <c r="I25" s="1097"/>
      <c r="J25" s="1097"/>
      <c r="K25" s="1098"/>
      <c r="L25" s="93"/>
      <c r="M25" s="93"/>
      <c r="N25" s="93"/>
      <c r="O25" s="93"/>
      <c r="P25" s="93"/>
      <c r="Q25" s="93"/>
      <c r="R25" s="110"/>
    </row>
    <row r="26" spans="1:18" ht="26.25" x14ac:dyDescent="0.25">
      <c r="A26" s="109"/>
      <c r="B26" s="93"/>
      <c r="C26" s="119" t="s">
        <v>352</v>
      </c>
      <c r="D26" s="120" t="s">
        <v>353</v>
      </c>
      <c r="E26" s="1099" t="s">
        <v>354</v>
      </c>
      <c r="F26" s="1100"/>
      <c r="G26" s="1100"/>
      <c r="H26" s="1100"/>
      <c r="I26" s="1100"/>
      <c r="J26" s="1101"/>
      <c r="K26" s="121" t="s">
        <v>355</v>
      </c>
      <c r="L26" s="93"/>
      <c r="M26" s="93"/>
      <c r="N26" s="93"/>
      <c r="O26" s="93"/>
      <c r="P26" s="93"/>
      <c r="Q26" s="93"/>
      <c r="R26" s="110"/>
    </row>
    <row r="27" spans="1:18" ht="15.75" thickBot="1" x14ac:dyDescent="0.3">
      <c r="A27" s="109"/>
      <c r="B27" s="93"/>
      <c r="C27" s="122" t="s">
        <v>356</v>
      </c>
      <c r="D27" s="122" t="s">
        <v>356</v>
      </c>
      <c r="E27" s="123">
        <v>130</v>
      </c>
      <c r="F27" s="124">
        <v>140</v>
      </c>
      <c r="G27" s="124">
        <v>150</v>
      </c>
      <c r="H27" s="124">
        <v>160</v>
      </c>
      <c r="I27" s="124">
        <v>170</v>
      </c>
      <c r="J27" s="125">
        <v>180</v>
      </c>
      <c r="K27" s="122" t="s">
        <v>357</v>
      </c>
      <c r="L27" s="93"/>
      <c r="M27" s="93"/>
      <c r="N27" s="93"/>
      <c r="O27" s="93"/>
      <c r="P27" s="93"/>
      <c r="Q27" s="93"/>
      <c r="R27" s="110"/>
    </row>
    <row r="28" spans="1:18" x14ac:dyDescent="0.25">
      <c r="A28" s="109"/>
      <c r="B28" s="93"/>
      <c r="C28" s="126" t="s">
        <v>358</v>
      </c>
      <c r="D28" s="127">
        <v>80</v>
      </c>
      <c r="E28" s="128">
        <v>37</v>
      </c>
      <c r="F28" s="129">
        <v>36.700000000000003</v>
      </c>
      <c r="G28" s="129">
        <v>36.5</v>
      </c>
      <c r="H28" s="129">
        <v>33.9</v>
      </c>
      <c r="I28" s="129">
        <v>31.4</v>
      </c>
      <c r="J28" s="130">
        <v>29.3</v>
      </c>
      <c r="K28" s="131" t="s">
        <v>359</v>
      </c>
      <c r="L28" s="93"/>
      <c r="M28" s="93"/>
      <c r="N28" s="93"/>
      <c r="O28" s="93"/>
      <c r="P28" s="93"/>
      <c r="Q28" s="93"/>
      <c r="R28" s="110"/>
    </row>
    <row r="29" spans="1:18" x14ac:dyDescent="0.25">
      <c r="A29" s="109"/>
      <c r="B29" s="93"/>
      <c r="C29" s="132">
        <v>100</v>
      </c>
      <c r="D29" s="132">
        <v>90</v>
      </c>
      <c r="E29" s="133">
        <v>46.6</v>
      </c>
      <c r="F29" s="134">
        <v>46.2</v>
      </c>
      <c r="G29" s="134">
        <v>42.8</v>
      </c>
      <c r="H29" s="134">
        <v>39.5</v>
      </c>
      <c r="I29" s="134">
        <v>36.6</v>
      </c>
      <c r="J29" s="135">
        <v>34.1</v>
      </c>
      <c r="K29" s="136" t="s">
        <v>359</v>
      </c>
      <c r="L29" s="93"/>
      <c r="M29" s="93"/>
      <c r="N29" s="93"/>
      <c r="O29" s="93"/>
      <c r="P29" s="93"/>
      <c r="Q29" s="93"/>
      <c r="R29" s="110"/>
    </row>
    <row r="30" spans="1:18" x14ac:dyDescent="0.25">
      <c r="A30" s="109"/>
      <c r="B30" s="93"/>
      <c r="C30" s="132">
        <v>110</v>
      </c>
      <c r="D30" s="132">
        <v>100</v>
      </c>
      <c r="E30" s="133">
        <v>56.6</v>
      </c>
      <c r="F30" s="134">
        <v>53.3</v>
      </c>
      <c r="G30" s="134">
        <v>48.8</v>
      </c>
      <c r="H30" s="134">
        <v>45</v>
      </c>
      <c r="I30" s="134">
        <v>41.8</v>
      </c>
      <c r="J30" s="135">
        <v>38.9</v>
      </c>
      <c r="K30" s="136" t="s">
        <v>359</v>
      </c>
      <c r="L30" s="93"/>
      <c r="M30" s="93"/>
      <c r="N30" s="93"/>
      <c r="O30" s="93"/>
      <c r="P30" s="93"/>
      <c r="Q30" s="93"/>
      <c r="R30" s="110"/>
    </row>
    <row r="31" spans="1:18" x14ac:dyDescent="0.25">
      <c r="A31" s="109"/>
      <c r="B31" s="93"/>
      <c r="C31" s="132">
        <v>120</v>
      </c>
      <c r="D31" s="132">
        <v>110</v>
      </c>
      <c r="E31" s="133">
        <v>66.099999999999994</v>
      </c>
      <c r="F31" s="134">
        <v>59.9</v>
      </c>
      <c r="G31" s="134">
        <v>54.9</v>
      </c>
      <c r="H31" s="134">
        <v>50.6</v>
      </c>
      <c r="I31" s="134">
        <v>46.9</v>
      </c>
      <c r="J31" s="135">
        <v>43.7</v>
      </c>
      <c r="K31" s="136" t="s">
        <v>359</v>
      </c>
      <c r="L31" s="93"/>
      <c r="M31" s="93"/>
      <c r="N31" s="93"/>
      <c r="O31" s="93"/>
      <c r="P31" s="93"/>
      <c r="Q31" s="93"/>
      <c r="R31" s="110"/>
    </row>
    <row r="32" spans="1:18" x14ac:dyDescent="0.25">
      <c r="A32" s="109"/>
      <c r="B32" s="93"/>
      <c r="C32" s="132">
        <v>130</v>
      </c>
      <c r="D32" s="132">
        <v>120</v>
      </c>
      <c r="E32" s="133">
        <v>73.3</v>
      </c>
      <c r="F32" s="134">
        <v>66.5</v>
      </c>
      <c r="G32" s="134">
        <v>60.9</v>
      </c>
      <c r="H32" s="134">
        <v>56.1</v>
      </c>
      <c r="I32" s="134">
        <v>52.1</v>
      </c>
      <c r="J32" s="135">
        <v>48.5</v>
      </c>
      <c r="K32" s="136" t="s">
        <v>359</v>
      </c>
      <c r="L32" s="93"/>
      <c r="M32" s="93"/>
      <c r="N32" s="93"/>
      <c r="O32" s="93"/>
      <c r="P32" s="93"/>
      <c r="Q32" s="93"/>
      <c r="R32" s="110"/>
    </row>
    <row r="33" spans="1:18" x14ac:dyDescent="0.25">
      <c r="A33" s="109"/>
      <c r="B33" s="93"/>
      <c r="C33" s="132">
        <v>140</v>
      </c>
      <c r="D33" s="132">
        <v>130</v>
      </c>
      <c r="E33" s="133">
        <v>80.599999999999994</v>
      </c>
      <c r="F33" s="134">
        <v>73.099999999999994</v>
      </c>
      <c r="G33" s="134">
        <v>66.900000000000006</v>
      </c>
      <c r="H33" s="134">
        <v>61.7</v>
      </c>
      <c r="I33" s="134">
        <v>57.2</v>
      </c>
      <c r="J33" s="135">
        <v>53.3</v>
      </c>
      <c r="K33" s="136" t="s">
        <v>359</v>
      </c>
      <c r="L33" s="93"/>
      <c r="M33" s="93"/>
      <c r="N33" s="93"/>
      <c r="O33" s="93"/>
      <c r="P33" s="93"/>
      <c r="Q33" s="93"/>
      <c r="R33" s="110"/>
    </row>
    <row r="34" spans="1:18" x14ac:dyDescent="0.25">
      <c r="A34" s="109"/>
      <c r="B34" s="93"/>
      <c r="C34" s="132">
        <v>150</v>
      </c>
      <c r="D34" s="132">
        <v>140</v>
      </c>
      <c r="E34" s="133">
        <v>85</v>
      </c>
      <c r="F34" s="134">
        <v>79.7</v>
      </c>
      <c r="G34" s="134">
        <v>72.900000000000006</v>
      </c>
      <c r="H34" s="134">
        <v>67.2</v>
      </c>
      <c r="I34" s="134">
        <v>62.4</v>
      </c>
      <c r="J34" s="135">
        <v>58.2</v>
      </c>
      <c r="K34" s="136" t="s">
        <v>359</v>
      </c>
      <c r="L34" s="93"/>
      <c r="M34" s="93"/>
      <c r="N34" s="93"/>
      <c r="O34" s="93"/>
      <c r="P34" s="93"/>
      <c r="Q34" s="93"/>
      <c r="R34" s="110"/>
    </row>
    <row r="35" spans="1:18" x14ac:dyDescent="0.25">
      <c r="A35" s="109"/>
      <c r="B35" s="93"/>
      <c r="C35" s="132">
        <v>160</v>
      </c>
      <c r="D35" s="132">
        <v>150</v>
      </c>
      <c r="E35" s="133">
        <v>85</v>
      </c>
      <c r="F35" s="134">
        <v>85</v>
      </c>
      <c r="G35" s="134">
        <v>79</v>
      </c>
      <c r="H35" s="134">
        <v>72.8</v>
      </c>
      <c r="I35" s="134">
        <v>67.5</v>
      </c>
      <c r="J35" s="135">
        <v>63</v>
      </c>
      <c r="K35" s="136" t="s">
        <v>359</v>
      </c>
      <c r="L35" s="93"/>
      <c r="M35" s="93"/>
      <c r="N35" s="93"/>
      <c r="O35" s="93"/>
      <c r="P35" s="93"/>
      <c r="Q35" s="93"/>
      <c r="R35" s="110"/>
    </row>
    <row r="36" spans="1:18" ht="15.75" thickBot="1" x14ac:dyDescent="0.3">
      <c r="A36" s="109"/>
      <c r="B36" s="93"/>
      <c r="C36" s="132">
        <v>170</v>
      </c>
      <c r="D36" s="132">
        <v>160</v>
      </c>
      <c r="E36" s="133">
        <v>85</v>
      </c>
      <c r="F36" s="134">
        <v>85</v>
      </c>
      <c r="G36" s="134">
        <v>85</v>
      </c>
      <c r="H36" s="134">
        <v>78.400000000000006</v>
      </c>
      <c r="I36" s="134">
        <v>72.7</v>
      </c>
      <c r="J36" s="135">
        <v>67.8</v>
      </c>
      <c r="K36" s="136" t="s">
        <v>359</v>
      </c>
      <c r="L36" s="93" t="s">
        <v>297</v>
      </c>
      <c r="M36" s="93"/>
      <c r="N36" s="93"/>
      <c r="O36" s="93"/>
      <c r="P36" s="93"/>
      <c r="Q36" s="93"/>
      <c r="R36" s="110"/>
    </row>
    <row r="37" spans="1:18" x14ac:dyDescent="0.25">
      <c r="A37" s="109"/>
      <c r="B37" s="93"/>
      <c r="C37" s="132">
        <v>180</v>
      </c>
      <c r="D37" s="132">
        <v>170</v>
      </c>
      <c r="E37" s="133">
        <v>85</v>
      </c>
      <c r="F37" s="134">
        <v>85</v>
      </c>
      <c r="G37" s="134">
        <v>85</v>
      </c>
      <c r="H37" s="134">
        <v>85</v>
      </c>
      <c r="I37" s="134">
        <v>77.8</v>
      </c>
      <c r="J37" s="135">
        <v>72.599999999999994</v>
      </c>
      <c r="K37" s="136" t="s">
        <v>359</v>
      </c>
      <c r="L37" s="137" t="s">
        <v>360</v>
      </c>
      <c r="M37" s="289"/>
      <c r="N37" s="289"/>
      <c r="O37" s="289"/>
      <c r="P37" s="289"/>
      <c r="Q37" s="289"/>
      <c r="R37" s="138"/>
    </row>
    <row r="38" spans="1:18" ht="15.75" thickBot="1" x14ac:dyDescent="0.3">
      <c r="A38" s="109"/>
      <c r="B38" s="93"/>
      <c r="C38" s="132">
        <v>190</v>
      </c>
      <c r="D38" s="132">
        <v>180</v>
      </c>
      <c r="E38" s="133">
        <v>85</v>
      </c>
      <c r="F38" s="134">
        <v>85</v>
      </c>
      <c r="G38" s="134">
        <v>85</v>
      </c>
      <c r="H38" s="134">
        <v>85</v>
      </c>
      <c r="I38" s="134">
        <v>83</v>
      </c>
      <c r="J38" s="135">
        <v>77.400000000000006</v>
      </c>
      <c r="K38" s="136" t="s">
        <v>359</v>
      </c>
      <c r="L38" s="139">
        <f>IF(AND(OR(Berechnung_TR_Lauf!F9="R 90",Berechnung_TR_Lauf!F9="R 120"),Berechnung_TR_Lauf!L9&gt;Berechnung_TR_Lauf!C40),Berechnung_TR_Lauf!C40,IF(AND(Berechnung_TR_Lauf!F9="R 30",Berechnung_TR_Lauf!L9&gt;Berechnung_TR_Lauf!D40),Berechnung_TR_Lauf!D40,Berechnung_TR_Lauf!L9))</f>
        <v>150</v>
      </c>
      <c r="M38" s="92" t="s">
        <v>338</v>
      </c>
      <c r="N38" s="92"/>
      <c r="O38" s="92"/>
      <c r="P38" s="92"/>
      <c r="Q38" s="92"/>
      <c r="R38" s="94"/>
    </row>
    <row r="39" spans="1:18" x14ac:dyDescent="0.25">
      <c r="A39" s="109"/>
      <c r="B39" s="93"/>
      <c r="C39" s="132">
        <v>200</v>
      </c>
      <c r="D39" s="132">
        <v>190</v>
      </c>
      <c r="E39" s="133">
        <v>85</v>
      </c>
      <c r="F39" s="134">
        <v>85</v>
      </c>
      <c r="G39" s="134">
        <v>85</v>
      </c>
      <c r="H39" s="134">
        <v>85</v>
      </c>
      <c r="I39" s="134">
        <v>85</v>
      </c>
      <c r="J39" s="135">
        <v>82.2</v>
      </c>
      <c r="K39" s="136" t="s">
        <v>359</v>
      </c>
      <c r="L39" s="137" t="s">
        <v>361</v>
      </c>
      <c r="M39" s="289"/>
      <c r="N39" s="289"/>
      <c r="O39" s="289"/>
      <c r="P39" s="289"/>
      <c r="Q39" s="289"/>
      <c r="R39" s="138"/>
    </row>
    <row r="40" spans="1:18" ht="15.75" thickBot="1" x14ac:dyDescent="0.3">
      <c r="A40" s="109"/>
      <c r="B40" s="93"/>
      <c r="C40" s="140">
        <v>210</v>
      </c>
      <c r="D40" s="140">
        <v>200</v>
      </c>
      <c r="E40" s="141">
        <v>85</v>
      </c>
      <c r="F40" s="142">
        <v>85</v>
      </c>
      <c r="G40" s="142">
        <v>85</v>
      </c>
      <c r="H40" s="142">
        <v>85</v>
      </c>
      <c r="I40" s="142">
        <v>85</v>
      </c>
      <c r="J40" s="143">
        <v>85</v>
      </c>
      <c r="K40" s="144" t="s">
        <v>359</v>
      </c>
      <c r="L40" s="145">
        <f>IF(AND(OR(Berechnung_TR_Lauf!F9="R 90",Berechnung_TR_Lauf!F9="R 120"),Berechnung_TR_Lauf!L11&gt;Berechnung_TR_Lauf!C40),Berechnung_TR_Lauf!C40,IF(AND(Berechnung_TR_Lauf!F9="R 30",Berechnung_TR_Lauf!L11&gt;Berechnung_TR_Lauf!D40),Berechnung_TR_Lauf!D40,Berechnung_TR_Lauf!L11))</f>
        <v>150</v>
      </c>
      <c r="M40" s="290" t="s">
        <v>338</v>
      </c>
      <c r="N40" s="290"/>
      <c r="O40" s="290"/>
      <c r="P40" s="290"/>
      <c r="Q40" s="290"/>
      <c r="R40" s="146"/>
    </row>
    <row r="41" spans="1:18" ht="15.75" thickBot="1" x14ac:dyDescent="0.3">
      <c r="A41" s="109"/>
      <c r="B41" s="93"/>
      <c r="C41" s="93"/>
      <c r="D41" s="93"/>
      <c r="E41" s="93"/>
      <c r="F41" s="93"/>
      <c r="G41" s="93"/>
      <c r="H41" s="93"/>
      <c r="I41" s="93"/>
      <c r="J41" s="93"/>
      <c r="K41" s="93"/>
      <c r="L41" s="93"/>
      <c r="M41" s="93"/>
      <c r="N41" s="93"/>
      <c r="O41" s="93"/>
      <c r="P41" s="93"/>
      <c r="Q41" s="93"/>
      <c r="R41" s="110"/>
    </row>
    <row r="42" spans="1:18" x14ac:dyDescent="0.25">
      <c r="A42" s="109"/>
      <c r="B42" s="93"/>
      <c r="C42" s="1102" t="s">
        <v>362</v>
      </c>
      <c r="D42" s="1103"/>
      <c r="E42" s="1103"/>
      <c r="F42" s="1103"/>
      <c r="G42" s="1103"/>
      <c r="H42" s="1103"/>
      <c r="I42" s="1103"/>
      <c r="J42" s="1103"/>
      <c r="K42" s="1104"/>
      <c r="L42" s="93"/>
      <c r="M42" s="93"/>
      <c r="N42" s="93"/>
      <c r="O42" s="93"/>
      <c r="P42" s="93"/>
      <c r="Q42" s="93"/>
      <c r="R42" s="110"/>
    </row>
    <row r="43" spans="1:18" ht="15.75" thickBot="1" x14ac:dyDescent="0.3">
      <c r="A43" s="109"/>
      <c r="B43" s="93"/>
      <c r="C43" s="1096" t="s">
        <v>363</v>
      </c>
      <c r="D43" s="1097"/>
      <c r="E43" s="1097"/>
      <c r="F43" s="1097"/>
      <c r="G43" s="1097"/>
      <c r="H43" s="1097"/>
      <c r="I43" s="1097"/>
      <c r="J43" s="1097"/>
      <c r="K43" s="1098"/>
      <c r="L43" s="93"/>
      <c r="M43" s="93"/>
      <c r="N43" s="93"/>
      <c r="O43" s="93"/>
      <c r="P43" s="93"/>
      <c r="Q43" s="93"/>
      <c r="R43" s="110"/>
    </row>
    <row r="44" spans="1:18" ht="26.25" x14ac:dyDescent="0.25">
      <c r="A44" s="109"/>
      <c r="B44" s="93"/>
      <c r="C44" s="119" t="s">
        <v>364</v>
      </c>
      <c r="D44" s="120" t="s">
        <v>365</v>
      </c>
      <c r="E44" s="1099" t="s">
        <v>354</v>
      </c>
      <c r="F44" s="1100"/>
      <c r="G44" s="1100"/>
      <c r="H44" s="1100"/>
      <c r="I44" s="1100"/>
      <c r="J44" s="1101"/>
      <c r="K44" s="121" t="s">
        <v>355</v>
      </c>
      <c r="L44" s="93"/>
      <c r="M44" s="93"/>
      <c r="N44" s="93"/>
      <c r="O44" s="93"/>
      <c r="P44" s="93"/>
      <c r="Q44" s="93"/>
      <c r="R44" s="110"/>
    </row>
    <row r="45" spans="1:18" ht="15.75" thickBot="1" x14ac:dyDescent="0.3">
      <c r="A45" s="109"/>
      <c r="B45" s="93"/>
      <c r="C45" s="147" t="s">
        <v>356</v>
      </c>
      <c r="D45" s="147" t="s">
        <v>356</v>
      </c>
      <c r="E45" s="148">
        <v>130</v>
      </c>
      <c r="F45" s="149">
        <v>140</v>
      </c>
      <c r="G45" s="149">
        <v>150</v>
      </c>
      <c r="H45" s="149">
        <v>160</v>
      </c>
      <c r="I45" s="149">
        <v>170</v>
      </c>
      <c r="J45" s="150">
        <v>180</v>
      </c>
      <c r="K45" s="147" t="s">
        <v>357</v>
      </c>
      <c r="L45" s="93"/>
      <c r="M45" s="93"/>
      <c r="N45" s="93"/>
      <c r="O45" s="93"/>
      <c r="P45" s="93"/>
      <c r="Q45" s="93"/>
      <c r="R45" s="110"/>
    </row>
    <row r="46" spans="1:18" x14ac:dyDescent="0.25">
      <c r="A46" s="109"/>
      <c r="B46" s="93"/>
      <c r="C46" s="127">
        <v>100</v>
      </c>
      <c r="D46" s="127">
        <v>90</v>
      </c>
      <c r="E46" s="151">
        <v>45.6</v>
      </c>
      <c r="F46" s="152">
        <v>48.8</v>
      </c>
      <c r="G46" s="152">
        <v>48.8</v>
      </c>
      <c r="H46" s="152">
        <v>48.8</v>
      </c>
      <c r="I46" s="152">
        <v>48.8</v>
      </c>
      <c r="J46" s="153">
        <v>48.8</v>
      </c>
      <c r="K46" s="154" t="s">
        <v>359</v>
      </c>
      <c r="L46" s="93"/>
      <c r="M46" s="93"/>
      <c r="N46" s="93"/>
      <c r="O46" s="93"/>
      <c r="P46" s="93"/>
      <c r="Q46" s="93"/>
      <c r="R46" s="110"/>
    </row>
    <row r="47" spans="1:18" x14ac:dyDescent="0.25">
      <c r="A47" s="109"/>
      <c r="B47" s="93"/>
      <c r="C47" s="132">
        <v>110</v>
      </c>
      <c r="D47" s="132">
        <v>100</v>
      </c>
      <c r="E47" s="155">
        <v>52.6</v>
      </c>
      <c r="F47" s="134">
        <v>54.4</v>
      </c>
      <c r="G47" s="134">
        <v>54.4</v>
      </c>
      <c r="H47" s="134">
        <v>54.4</v>
      </c>
      <c r="I47" s="134">
        <v>54.4</v>
      </c>
      <c r="J47" s="135">
        <v>54.4</v>
      </c>
      <c r="K47" s="136" t="s">
        <v>359</v>
      </c>
      <c r="L47" s="93"/>
      <c r="M47" s="93"/>
      <c r="N47" s="93"/>
      <c r="O47" s="93"/>
      <c r="P47" s="93"/>
      <c r="Q47" s="93"/>
      <c r="R47" s="110"/>
    </row>
    <row r="48" spans="1:18" x14ac:dyDescent="0.25">
      <c r="A48" s="109"/>
      <c r="B48" s="93"/>
      <c r="C48" s="132">
        <v>120</v>
      </c>
      <c r="D48" s="132">
        <v>110</v>
      </c>
      <c r="E48" s="155">
        <v>59.5</v>
      </c>
      <c r="F48" s="134">
        <v>59.9</v>
      </c>
      <c r="G48" s="134">
        <v>59.9</v>
      </c>
      <c r="H48" s="134">
        <v>59.9</v>
      </c>
      <c r="I48" s="134">
        <v>59.9</v>
      </c>
      <c r="J48" s="135">
        <v>59.9</v>
      </c>
      <c r="K48" s="136" t="s">
        <v>359</v>
      </c>
      <c r="L48" s="93"/>
      <c r="M48" s="93"/>
      <c r="N48" s="93"/>
      <c r="O48" s="93"/>
      <c r="P48" s="93"/>
      <c r="Q48" s="93"/>
      <c r="R48" s="110"/>
    </row>
    <row r="49" spans="1:18" ht="15.75" thickBot="1" x14ac:dyDescent="0.3">
      <c r="A49" s="109"/>
      <c r="B49" s="93"/>
      <c r="C49" s="132">
        <v>130</v>
      </c>
      <c r="D49" s="132">
        <v>120</v>
      </c>
      <c r="E49" s="155">
        <v>65.400000000000006</v>
      </c>
      <c r="F49" s="134">
        <v>65.400000000000006</v>
      </c>
      <c r="G49" s="134">
        <v>65.400000000000006</v>
      </c>
      <c r="H49" s="134">
        <v>65.400000000000006</v>
      </c>
      <c r="I49" s="134">
        <v>65.400000000000006</v>
      </c>
      <c r="J49" s="135">
        <v>65.400000000000006</v>
      </c>
      <c r="K49" s="136" t="s">
        <v>359</v>
      </c>
      <c r="L49" s="93" t="s">
        <v>2</v>
      </c>
      <c r="M49" s="93"/>
      <c r="N49" s="93"/>
      <c r="O49" s="93"/>
      <c r="P49" s="93"/>
      <c r="Q49" s="93"/>
      <c r="R49" s="110"/>
    </row>
    <row r="50" spans="1:18" x14ac:dyDescent="0.25">
      <c r="A50" s="109"/>
      <c r="B50" s="93"/>
      <c r="C50" s="132">
        <v>140</v>
      </c>
      <c r="D50" s="132">
        <v>130</v>
      </c>
      <c r="E50" s="155">
        <v>71</v>
      </c>
      <c r="F50" s="134">
        <v>71</v>
      </c>
      <c r="G50" s="134">
        <v>71</v>
      </c>
      <c r="H50" s="134">
        <v>71</v>
      </c>
      <c r="I50" s="134">
        <v>71</v>
      </c>
      <c r="J50" s="135">
        <v>71</v>
      </c>
      <c r="K50" s="136" t="s">
        <v>359</v>
      </c>
      <c r="L50" s="137" t="s">
        <v>360</v>
      </c>
      <c r="M50" s="289"/>
      <c r="N50" s="289"/>
      <c r="O50" s="289"/>
      <c r="P50" s="289"/>
      <c r="Q50" s="289"/>
      <c r="R50" s="138"/>
    </row>
    <row r="51" spans="1:18" ht="15.75" thickBot="1" x14ac:dyDescent="0.3">
      <c r="A51" s="109"/>
      <c r="B51" s="93"/>
      <c r="C51" s="132">
        <v>150</v>
      </c>
      <c r="D51" s="132">
        <v>140</v>
      </c>
      <c r="E51" s="155">
        <v>76.5</v>
      </c>
      <c r="F51" s="134">
        <v>76.5</v>
      </c>
      <c r="G51" s="134">
        <v>76.5</v>
      </c>
      <c r="H51" s="134">
        <v>76.5</v>
      </c>
      <c r="I51" s="134">
        <v>76.5</v>
      </c>
      <c r="J51" s="135">
        <v>76.5</v>
      </c>
      <c r="K51" s="136" t="s">
        <v>359</v>
      </c>
      <c r="L51" s="139">
        <f>INDEX(E55:J55,1,MATCH(L10,E45:J45,0))</f>
        <v>100</v>
      </c>
      <c r="M51" s="92" t="s">
        <v>338</v>
      </c>
      <c r="N51" s="92"/>
      <c r="O51" s="92"/>
      <c r="P51" s="92"/>
      <c r="Q51" s="92"/>
      <c r="R51" s="94"/>
    </row>
    <row r="52" spans="1:18" x14ac:dyDescent="0.25">
      <c r="A52" s="109"/>
      <c r="B52" s="93"/>
      <c r="C52" s="132">
        <v>160</v>
      </c>
      <c r="D52" s="132">
        <v>150</v>
      </c>
      <c r="E52" s="155">
        <v>82</v>
      </c>
      <c r="F52" s="134">
        <v>82</v>
      </c>
      <c r="G52" s="134">
        <v>82</v>
      </c>
      <c r="H52" s="134">
        <v>82</v>
      </c>
      <c r="I52" s="134">
        <v>82</v>
      </c>
      <c r="J52" s="135">
        <v>82</v>
      </c>
      <c r="K52" s="136" t="s">
        <v>359</v>
      </c>
      <c r="L52" s="137" t="s">
        <v>361</v>
      </c>
      <c r="M52" s="289"/>
      <c r="N52" s="289"/>
      <c r="O52" s="289"/>
      <c r="P52" s="289"/>
      <c r="Q52" s="289"/>
      <c r="R52" s="138"/>
    </row>
    <row r="53" spans="1:18" ht="15.75" thickBot="1" x14ac:dyDescent="0.3">
      <c r="A53" s="109"/>
      <c r="B53" s="93"/>
      <c r="C53" s="140">
        <v>170</v>
      </c>
      <c r="D53" s="140">
        <v>160</v>
      </c>
      <c r="E53" s="156">
        <v>85</v>
      </c>
      <c r="F53" s="142">
        <v>85</v>
      </c>
      <c r="G53" s="142">
        <v>85</v>
      </c>
      <c r="H53" s="142">
        <v>85</v>
      </c>
      <c r="I53" s="142">
        <v>85</v>
      </c>
      <c r="J53" s="143">
        <v>85</v>
      </c>
      <c r="K53" s="144" t="s">
        <v>359</v>
      </c>
      <c r="L53" s="145">
        <f>INDEX(E57:J57,1,MATCH(L12,E45:J45,0))</f>
        <v>100</v>
      </c>
      <c r="M53" s="290" t="s">
        <v>338</v>
      </c>
      <c r="N53" s="290"/>
      <c r="O53" s="290"/>
      <c r="P53" s="290"/>
      <c r="Q53" s="290"/>
      <c r="R53" s="146"/>
    </row>
    <row r="54" spans="1:18" ht="15.75" thickBot="1" x14ac:dyDescent="0.3">
      <c r="A54" s="109"/>
      <c r="B54" s="93"/>
      <c r="C54" s="1108" t="s">
        <v>366</v>
      </c>
      <c r="D54" s="1109"/>
      <c r="E54" s="158">
        <f t="array" ref="E54">MIN(IF(E46:E53&gt;$D$18/$L$5,E46:E53))</f>
        <v>45.6</v>
      </c>
      <c r="F54" s="158">
        <f t="array" ref="F54">MIN(IF(F46:F53&gt;$D$18/$L$5,F46:F53))</f>
        <v>48.8</v>
      </c>
      <c r="G54" s="158">
        <f t="array" ref="G54">MIN(IF(G46:G53&gt;$D$18/$L$5,G46:G53))</f>
        <v>48.8</v>
      </c>
      <c r="H54" s="158">
        <f t="array" ref="H54">MIN(IF(H46:H53&gt;$D$18/$L$5,H46:H53))</f>
        <v>48.8</v>
      </c>
      <c r="I54" s="158">
        <f t="array" ref="I54">MIN(IF(I46:I53&gt;$D$18/$L$5,I46:I53))</f>
        <v>48.8</v>
      </c>
      <c r="J54" s="158">
        <f t="array" ref="J54">MIN(IF(J46:J53&gt;$D$18/$L$5,J46:J53))</f>
        <v>48.8</v>
      </c>
      <c r="K54" s="159"/>
      <c r="L54" s="93"/>
      <c r="M54" s="93"/>
      <c r="N54" s="93"/>
      <c r="O54" s="93"/>
      <c r="P54" s="93"/>
      <c r="Q54" s="93"/>
      <c r="R54" s="110"/>
    </row>
    <row r="55" spans="1:18" ht="15.75" thickBot="1" x14ac:dyDescent="0.3">
      <c r="A55" s="109"/>
      <c r="B55" s="93"/>
      <c r="C55" s="1110"/>
      <c r="D55" s="1111"/>
      <c r="E55" s="158">
        <f>IF(OR(Berechnung_TR_Lauf!$F$9="R 90",Berechnung_TR_Lauf!$F$9="R 120"),_xlfn.XLOOKUP(E54,E46:E53,$C46:$C53,"n.v.",0,1),IF(Berechnung_TR_Lauf!$F$9="R 30",_xlfn.XLOOKUP(E54,E46:E53,$D46:$D53,"n.v.",0,1),"n.v."))</f>
        <v>100</v>
      </c>
      <c r="F55" s="158">
        <f>IF(OR(Berechnung_TR_Lauf!$F$9="R 90",Berechnung_TR_Lauf!$F$9="R 120"),_xlfn.XLOOKUP(F54,F46:F53,$C46:$C53,"n.v.",0,1),IF(Berechnung_TR_Lauf!$F$9="R 30",_xlfn.XLOOKUP(F54,F46:F53,$D46:$D53,"n.v.",0,1),"n.v."))</f>
        <v>100</v>
      </c>
      <c r="G55" s="158">
        <f>IF(OR(Berechnung_TR_Lauf!$F$9="R 90",Berechnung_TR_Lauf!$F$9="R 120"),_xlfn.XLOOKUP(G54,G46:G53,$C46:$C53,"n.v.",0,1),IF(Berechnung_TR_Lauf!$F$9="R 30",_xlfn.XLOOKUP(G54,G46:G53,$D46:$D53,"n.v.",0,1),"n.v."))</f>
        <v>100</v>
      </c>
      <c r="H55" s="158">
        <f>IF(OR(Berechnung_TR_Lauf!$F$9="R 90",Berechnung_TR_Lauf!$F$9="R 120"),_xlfn.XLOOKUP(H54,H46:H53,$C46:$C53,"n.v.",0,1),IF(Berechnung_TR_Lauf!$F$9="R 30",_xlfn.XLOOKUP(H54,H46:H53,$D46:$D53,"n.v.",0,1),"n.v."))</f>
        <v>100</v>
      </c>
      <c r="I55" s="158">
        <f>IF(OR(Berechnung_TR_Lauf!$F$9="R 90",Berechnung_TR_Lauf!$F$9="R 120"),_xlfn.XLOOKUP(I54,I46:I53,$C46:$C53,"n.v.",0,1),IF(Berechnung_TR_Lauf!$F$9="R 30",_xlfn.XLOOKUP(I54,I46:I53,$D46:$D53,"n.v.",0,1),"n.v."))</f>
        <v>100</v>
      </c>
      <c r="J55" s="158">
        <f>IF(OR(Berechnung_TR_Lauf!$F$9="R 90",Berechnung_TR_Lauf!$F$9="R 120"),_xlfn.XLOOKUP(J54,J46:J53,$C46:$C53,"n.v.",0,1),IF(Berechnung_TR_Lauf!$F$9="R 30",_xlfn.XLOOKUP(J54,J46:J53,$D46:$D53,"n.v.",0,1),"n.v."))</f>
        <v>100</v>
      </c>
      <c r="K55" s="159"/>
      <c r="L55" s="93"/>
      <c r="M55" s="93"/>
      <c r="N55" s="93"/>
      <c r="O55" s="93"/>
      <c r="P55" s="93"/>
      <c r="Q55" s="93"/>
      <c r="R55" s="110"/>
    </row>
    <row r="56" spans="1:18" ht="15.75" thickBot="1" x14ac:dyDescent="0.3">
      <c r="A56" s="109"/>
      <c r="B56" s="93"/>
      <c r="C56" s="1108" t="s">
        <v>367</v>
      </c>
      <c r="D56" s="1109"/>
      <c r="E56" s="158" cm="1">
        <f t="array" ref="E56">MIN(IF(E46:E53&gt;$D$21/$L$5,E46:E53))</f>
        <v>45.6</v>
      </c>
      <c r="F56" s="158" cm="1">
        <f t="array" ref="F56">MIN(IF(F46:F53&gt;$D$21/$L$5,F46:F53))</f>
        <v>48.8</v>
      </c>
      <c r="G56" s="158" cm="1">
        <f t="array" ref="G56">MIN(IF(G46:G53&gt;$D$21/$L$5,G46:G53))</f>
        <v>48.8</v>
      </c>
      <c r="H56" s="158" cm="1">
        <f t="array" ref="H56">MIN(IF(H46:H53&gt;$D$21/$L$5,H46:H53))</f>
        <v>48.8</v>
      </c>
      <c r="I56" s="158" cm="1">
        <f t="array" ref="I56">MIN(IF(I46:I53&gt;$D$21/$L$5,I46:I53))</f>
        <v>48.8</v>
      </c>
      <c r="J56" s="158" cm="1">
        <f t="array" ref="J56">MIN(IF(J46:J53&gt;$D$21/$L$5,J46:J53))</f>
        <v>48.8</v>
      </c>
      <c r="K56" s="159"/>
      <c r="L56" s="93"/>
      <c r="M56" s="93"/>
      <c r="N56" s="93"/>
      <c r="O56" s="93"/>
      <c r="P56" s="93"/>
      <c r="Q56" s="93"/>
      <c r="R56" s="110"/>
    </row>
    <row r="57" spans="1:18" ht="15.75" thickBot="1" x14ac:dyDescent="0.3">
      <c r="A57" s="109"/>
      <c r="B57" s="93"/>
      <c r="C57" s="1110"/>
      <c r="D57" s="1111"/>
      <c r="E57" s="158">
        <f>IF(OR(Berechnung_TR_Lauf!$F$9="R 90",Berechnung_TR_Lauf!$F$9="R 120"),_xlfn.XLOOKUP(E56,E46:E53,$C46:$C53,"n.v.",0,1),IF(Berechnung_TR_Lauf!$F$9="R 30",_xlfn.XLOOKUP(E56,E46:E53,$D46:$D53,"n.v.",0,1),"n.v."))</f>
        <v>100</v>
      </c>
      <c r="F57" s="158">
        <f>IF(OR(Berechnung_TR_Lauf!$F$9="R 90",Berechnung_TR_Lauf!$F$9="R 120"),_xlfn.XLOOKUP(F56,F46:F53,$C46:$C53,"n.v.",0,1),IF(Berechnung_TR_Lauf!$F$9="R 30",_xlfn.XLOOKUP(F56,F46:F53,$D46:$D53,"n.v.",0,1),"n.v."))</f>
        <v>100</v>
      </c>
      <c r="G57" s="158">
        <f>IF(OR(Berechnung_TR_Lauf!$F$9="R 90",Berechnung_TR_Lauf!$F$9="R 120"),_xlfn.XLOOKUP(G56,G46:G53,$C46:$C53,"n.v.",0,1),IF(Berechnung_TR_Lauf!$F$9="R 30",_xlfn.XLOOKUP(G56,G46:G53,$D46:$D53,"n.v.",0,1),"n.v."))</f>
        <v>100</v>
      </c>
      <c r="H57" s="158">
        <f>IF(OR(Berechnung_TR_Lauf!$F$9="R 90",Berechnung_TR_Lauf!$F$9="R 120"),_xlfn.XLOOKUP(H56,H46:H53,$C46:$C53,"n.v.",0,1),IF(Berechnung_TR_Lauf!$F$9="R 30",_xlfn.XLOOKUP(H56,H46:H53,$D46:$D53,"n.v.",0,1),"n.v."))</f>
        <v>100</v>
      </c>
      <c r="I57" s="158">
        <f>IF(OR(Berechnung_TR_Lauf!$F$9="R 90",Berechnung_TR_Lauf!$F$9="R 120"),_xlfn.XLOOKUP(I56,I46:I53,$C46:$C53,"n.v.",0,1),IF(Berechnung_TR_Lauf!$F$9="R 30",_xlfn.XLOOKUP(I56,I46:I53,$D46:$D53,"n.v.",0,1),"n.v."))</f>
        <v>100</v>
      </c>
      <c r="J57" s="158">
        <f>IF(OR(Berechnung_TR_Lauf!$F$9="R 90",Berechnung_TR_Lauf!$F$9="R 120"),_xlfn.XLOOKUP(J56,J46:J53,$C46:$C53,"n.v.",0,1),IF(Berechnung_TR_Lauf!$F$9="R 30",_xlfn.XLOOKUP(J56,J46:J53,$D46:$D53,"n.v.",0,1),"n.v."))</f>
        <v>100</v>
      </c>
      <c r="K57" s="159"/>
      <c r="L57" s="93"/>
      <c r="M57" s="93"/>
      <c r="N57" s="93"/>
      <c r="O57" s="93"/>
      <c r="P57" s="93"/>
      <c r="Q57" s="93"/>
      <c r="R57" s="110"/>
    </row>
    <row r="58" spans="1:18" ht="15.75" thickBot="1" x14ac:dyDescent="0.3">
      <c r="A58" s="109"/>
      <c r="B58" s="93"/>
      <c r="C58" s="1105" t="s">
        <v>368</v>
      </c>
      <c r="D58" s="1106"/>
      <c r="E58" s="1107"/>
      <c r="F58" s="160" t="s">
        <v>369</v>
      </c>
      <c r="G58" s="161" t="s">
        <v>370</v>
      </c>
      <c r="H58" s="317"/>
      <c r="I58" s="317"/>
      <c r="J58" s="317"/>
      <c r="K58" s="318"/>
      <c r="L58" s="93"/>
      <c r="M58" s="93"/>
      <c r="N58" s="93"/>
      <c r="O58" s="93"/>
      <c r="P58" s="93"/>
      <c r="Q58" s="93"/>
      <c r="R58" s="110"/>
    </row>
    <row r="59" spans="1:18" x14ac:dyDescent="0.25">
      <c r="A59" s="109"/>
      <c r="B59" s="93"/>
      <c r="C59" s="162" t="s">
        <v>371</v>
      </c>
      <c r="D59" s="163"/>
      <c r="E59" s="164" t="s">
        <v>372</v>
      </c>
      <c r="F59" s="165">
        <f>IF(OR(F9="R 90",F9="R 120"),INDEX(E28:J40,MATCH(L38,C28:C40,0),MATCH(L10,E27:J27,0)),IF(F9="R 30",INDEX(E28:J40,MATCH(L38,D28:D40,0),MATCH(L10,E27:J27,0))))*L5</f>
        <v>103.61000000000001</v>
      </c>
      <c r="G59" s="166">
        <f>IF(OR(F9="R 90",F9="R 120"),INDEX(E28:J40,MATCH(L40,C28:C40,0),MATCH(L12,E27:J27,0)),IF(F9="R 30",INDEX(E28:J40,MATCH(L40,D28:D40,0),MATCH(L12,E27:J27,0))))*L5</f>
        <v>110.5</v>
      </c>
      <c r="H59" s="93"/>
      <c r="I59" s="93"/>
      <c r="J59" s="93"/>
      <c r="K59" s="93"/>
      <c r="L59" s="93"/>
      <c r="M59" s="93"/>
      <c r="N59" s="93"/>
      <c r="O59" s="93"/>
      <c r="P59" s="93"/>
      <c r="Q59" s="93"/>
      <c r="R59" s="110"/>
    </row>
    <row r="60" spans="1:18" ht="15.75" thickBot="1" x14ac:dyDescent="0.3">
      <c r="A60" s="109"/>
      <c r="B60" s="93"/>
      <c r="C60" s="167" t="s">
        <v>373</v>
      </c>
      <c r="D60" s="168"/>
      <c r="E60" s="169" t="s">
        <v>374</v>
      </c>
      <c r="F60" s="170">
        <f>IF(OR(F9="R 90",F9="R 120"),INDEX(E46:J53,MATCH(L51,C46:C53,0),MATCH(L10,E45:J45,0)),IF(F9="R 30",INDEX(E46:J53,MATCH(L51,D46:D53,0),MATCH(L10,E45:J45,0))))*L5</f>
        <v>63.44</v>
      </c>
      <c r="G60" s="171">
        <f>IF(OR(F9="R 90",F9="R 120"),INDEX(E46:J53,MATCH(L53,C46:C53,0),MATCH(L12,E45:J45,0)),IF(F9="R 30",INDEX(E46:J53,MATCH(L53,D46:D53,0),MATCH(L12,E45:J45,0))))*L5</f>
        <v>59.28</v>
      </c>
      <c r="H60" s="93"/>
      <c r="I60" s="93"/>
      <c r="J60" s="93"/>
      <c r="K60" s="93"/>
      <c r="L60" s="93"/>
      <c r="M60" s="93"/>
      <c r="N60" s="93"/>
      <c r="O60" s="93"/>
      <c r="P60" s="93"/>
      <c r="Q60" s="93"/>
      <c r="R60" s="110"/>
    </row>
    <row r="61" spans="1:18" x14ac:dyDescent="0.25">
      <c r="A61" s="112"/>
      <c r="B61" s="96"/>
      <c r="C61" s="96"/>
      <c r="D61" s="96"/>
      <c r="E61" s="96"/>
      <c r="F61" s="96"/>
      <c r="G61" s="96"/>
      <c r="H61" s="96"/>
      <c r="I61" s="96"/>
      <c r="J61" s="96"/>
      <c r="K61" s="96"/>
      <c r="L61" s="96"/>
      <c r="M61" s="96"/>
      <c r="N61" s="96"/>
      <c r="O61" s="96"/>
      <c r="P61" s="96"/>
      <c r="Q61" s="96"/>
      <c r="R61" s="97"/>
    </row>
    <row r="62" spans="1:18" ht="15.75" thickBot="1" x14ac:dyDescent="0.3">
      <c r="A62" s="172"/>
      <c r="B62" s="55" t="s">
        <v>210</v>
      </c>
      <c r="C62" s="173" t="s">
        <v>375</v>
      </c>
      <c r="D62" s="117"/>
      <c r="E62" s="117"/>
      <c r="F62" s="117"/>
      <c r="G62" s="117"/>
      <c r="H62" s="117"/>
      <c r="I62" s="117"/>
      <c r="J62" s="117"/>
      <c r="K62" s="117"/>
      <c r="L62" s="117"/>
      <c r="M62" s="117"/>
      <c r="N62" s="117"/>
      <c r="O62" s="117"/>
      <c r="P62" s="117"/>
      <c r="Q62" s="117"/>
      <c r="R62" s="118"/>
    </row>
    <row r="63" spans="1:18" x14ac:dyDescent="0.25">
      <c r="A63" s="109"/>
      <c r="B63" s="93"/>
      <c r="C63" s="1112" t="s">
        <v>376</v>
      </c>
      <c r="D63" s="1113"/>
      <c r="E63" s="1114"/>
      <c r="F63" s="93"/>
      <c r="G63" s="93"/>
      <c r="H63" s="93"/>
      <c r="I63" s="93"/>
      <c r="J63" s="93"/>
      <c r="K63" s="93"/>
      <c r="L63" s="93"/>
      <c r="M63" s="93"/>
      <c r="N63" s="93"/>
      <c r="O63" s="93"/>
      <c r="P63" s="93"/>
      <c r="Q63" s="93"/>
      <c r="R63" s="110"/>
    </row>
    <row r="64" spans="1:18" ht="15.75" thickBot="1" x14ac:dyDescent="0.3">
      <c r="A64" s="109"/>
      <c r="B64" s="93"/>
      <c r="C64" s="1115" t="s">
        <v>377</v>
      </c>
      <c r="D64" s="1116"/>
      <c r="E64" s="1117"/>
      <c r="F64" s="93"/>
      <c r="G64" s="93"/>
      <c r="H64" s="93"/>
      <c r="I64" s="93"/>
      <c r="J64" s="93"/>
      <c r="K64" s="93"/>
      <c r="L64" s="93"/>
      <c r="M64" s="93"/>
      <c r="N64" s="93"/>
      <c r="O64" s="93"/>
      <c r="P64" s="93"/>
      <c r="Q64" s="93"/>
      <c r="R64" s="110"/>
    </row>
    <row r="65" spans="1:27" ht="15.75" thickBot="1" x14ac:dyDescent="0.3">
      <c r="A65" s="109"/>
      <c r="B65" s="93"/>
      <c r="C65" s="157" t="s">
        <v>378</v>
      </c>
      <c r="D65" s="174" t="s">
        <v>379</v>
      </c>
      <c r="E65" s="175" t="s">
        <v>380</v>
      </c>
      <c r="F65" s="93"/>
      <c r="G65" s="93"/>
      <c r="H65" s="93"/>
      <c r="I65" s="93"/>
      <c r="J65" s="93"/>
      <c r="K65" s="93"/>
      <c r="L65" s="93"/>
      <c r="M65" s="93"/>
      <c r="N65" s="93"/>
      <c r="O65" s="93"/>
      <c r="P65" s="93"/>
      <c r="Q65" s="93"/>
      <c r="R65" s="110"/>
    </row>
    <row r="66" spans="1:27" x14ac:dyDescent="0.25">
      <c r="A66" s="109"/>
      <c r="B66" s="93"/>
      <c r="C66" s="176" t="s">
        <v>381</v>
      </c>
      <c r="D66" s="177">
        <v>43</v>
      </c>
      <c r="E66" s="178" t="s">
        <v>359</v>
      </c>
      <c r="F66" s="93"/>
      <c r="G66" s="93"/>
      <c r="H66" s="93"/>
      <c r="I66" s="93"/>
      <c r="J66" s="93"/>
      <c r="K66" s="93"/>
      <c r="L66" s="93"/>
      <c r="M66" s="93"/>
      <c r="N66" s="93"/>
      <c r="O66" s="93"/>
      <c r="P66" s="93"/>
      <c r="Q66" s="93"/>
      <c r="R66" s="110"/>
    </row>
    <row r="67" spans="1:27" x14ac:dyDescent="0.25">
      <c r="A67" s="109"/>
      <c r="B67" s="93"/>
      <c r="C67" s="179" t="s">
        <v>382</v>
      </c>
      <c r="D67" s="180">
        <v>61</v>
      </c>
      <c r="E67" s="181" t="s">
        <v>359</v>
      </c>
      <c r="F67" s="93"/>
      <c r="G67" s="93"/>
      <c r="H67" s="93"/>
      <c r="I67" s="93"/>
      <c r="J67" s="93"/>
      <c r="K67" s="93"/>
      <c r="L67" s="93"/>
      <c r="M67" s="93"/>
      <c r="N67" s="93"/>
      <c r="O67" s="93"/>
      <c r="P67" s="93"/>
      <c r="Q67" s="93"/>
      <c r="R67" s="110"/>
    </row>
    <row r="68" spans="1:27" ht="15.75" thickBot="1" x14ac:dyDescent="0.3">
      <c r="A68" s="109"/>
      <c r="B68" s="93"/>
      <c r="C68" s="182" t="s">
        <v>383</v>
      </c>
      <c r="D68" s="183">
        <v>85</v>
      </c>
      <c r="E68" s="184" t="s">
        <v>359</v>
      </c>
      <c r="F68" s="93"/>
      <c r="G68" s="93"/>
      <c r="H68" s="93"/>
      <c r="I68" s="93"/>
      <c r="J68" s="93"/>
      <c r="K68" s="93"/>
      <c r="L68" s="93"/>
      <c r="M68" s="93"/>
      <c r="N68" s="93"/>
      <c r="O68" s="93"/>
      <c r="P68" s="93"/>
      <c r="Q68" s="93"/>
      <c r="R68" s="110"/>
    </row>
    <row r="69" spans="1:27" x14ac:dyDescent="0.25">
      <c r="A69" s="109"/>
      <c r="B69" s="93"/>
      <c r="C69" s="1118" t="s">
        <v>384</v>
      </c>
      <c r="D69" s="185" t="s">
        <v>378</v>
      </c>
      <c r="E69" s="186" t="str">
        <f>_xlfn.XLOOKUP(ROUND(E70/('BIEG - DANE'!E26/100),0),D66:D68,C66:C68,"???",0,1)</f>
        <v>V2</v>
      </c>
      <c r="F69" s="93"/>
      <c r="G69" s="93"/>
      <c r="H69" s="93"/>
      <c r="I69" s="93"/>
      <c r="J69" s="93"/>
      <c r="K69" s="93"/>
      <c r="L69" s="93"/>
      <c r="M69" s="93"/>
      <c r="N69" s="93"/>
      <c r="O69" s="93"/>
      <c r="P69" s="93"/>
      <c r="Q69" s="93"/>
      <c r="R69" s="110"/>
    </row>
    <row r="70" spans="1:27" x14ac:dyDescent="0.25">
      <c r="A70" s="109"/>
      <c r="B70" s="93"/>
      <c r="C70" s="1119"/>
      <c r="D70" s="187" t="s">
        <v>385</v>
      </c>
      <c r="E70" s="188" cm="1">
        <f t="array" ref="E70">MIN(IF(D66:D68&gt;=D18/('BIEG - DANE'!E26/100),D66:D68))*('BIEG - DANE'!E26/100)</f>
        <v>79.3</v>
      </c>
      <c r="F70" s="319"/>
      <c r="G70" s="93"/>
      <c r="H70" s="93"/>
      <c r="I70" s="93"/>
      <c r="J70" s="93"/>
      <c r="K70" s="93"/>
      <c r="L70" s="93"/>
      <c r="M70" s="93"/>
      <c r="N70" s="93"/>
      <c r="O70" s="93"/>
      <c r="P70" s="93"/>
      <c r="Q70" s="93"/>
      <c r="R70" s="110"/>
    </row>
    <row r="71" spans="1:27" x14ac:dyDescent="0.25">
      <c r="A71" s="109"/>
      <c r="B71" s="93"/>
      <c r="C71" s="1119"/>
      <c r="D71" s="187" t="s">
        <v>355</v>
      </c>
      <c r="E71" s="188">
        <v>3.8</v>
      </c>
      <c r="F71" s="93"/>
      <c r="G71" s="93"/>
      <c r="H71" s="93"/>
      <c r="I71" s="93"/>
      <c r="J71" s="93"/>
      <c r="K71" s="93"/>
      <c r="L71" s="93"/>
      <c r="M71" s="93"/>
      <c r="N71" s="93"/>
      <c r="O71" s="93"/>
      <c r="P71" s="93"/>
      <c r="Q71" s="93"/>
      <c r="R71" s="110"/>
    </row>
    <row r="72" spans="1:27" ht="15.75" thickBot="1" x14ac:dyDescent="0.3">
      <c r="A72" s="109"/>
      <c r="B72" s="93"/>
      <c r="C72" s="1120"/>
      <c r="D72" s="169" t="s">
        <v>43</v>
      </c>
      <c r="E72" s="189" t="s">
        <v>386</v>
      </c>
      <c r="F72" s="93"/>
      <c r="G72" s="93"/>
      <c r="H72" s="93"/>
      <c r="I72" s="93"/>
      <c r="J72" s="93"/>
      <c r="K72" s="93"/>
      <c r="L72" s="93"/>
      <c r="M72" s="93"/>
      <c r="N72" s="93"/>
      <c r="O72" s="93"/>
      <c r="P72" s="93"/>
      <c r="Q72" s="93"/>
      <c r="R72" s="110"/>
    </row>
    <row r="73" spans="1:27" x14ac:dyDescent="0.25">
      <c r="A73" s="109"/>
      <c r="B73" s="93"/>
      <c r="C73" s="1118" t="s">
        <v>387</v>
      </c>
      <c r="D73" s="185" t="s">
        <v>378</v>
      </c>
      <c r="E73" s="186" t="str">
        <f>_xlfn.XLOOKUP(ROUND(E74/('BIEG - DANE'!E26/100),0),D66:D68,C66:C68,"???",0,1)</f>
        <v>V2</v>
      </c>
      <c r="F73" s="93"/>
      <c r="G73" s="93"/>
      <c r="H73" s="93"/>
      <c r="I73" s="93"/>
      <c r="J73" s="93"/>
      <c r="K73" s="93"/>
      <c r="L73" s="93"/>
      <c r="M73" s="93"/>
      <c r="N73" s="93"/>
      <c r="O73" s="93"/>
      <c r="P73" s="93"/>
      <c r="Q73" s="93"/>
      <c r="R73" s="110"/>
    </row>
    <row r="74" spans="1:27" x14ac:dyDescent="0.25">
      <c r="A74" s="109"/>
      <c r="B74" s="93"/>
      <c r="C74" s="1119"/>
      <c r="D74" s="187" t="s">
        <v>385</v>
      </c>
      <c r="E74" s="188" cm="1">
        <f t="array" ref="E74">MIN(IF(D66:D68&gt;=D21/('BIEG - DANE'!E26/100),D66:D68))*('BIEG - DANE'!E26/100)</f>
        <v>79.3</v>
      </c>
      <c r="F74" s="93"/>
      <c r="G74" s="93"/>
      <c r="H74" s="93"/>
      <c r="I74" s="93"/>
      <c r="J74" s="93"/>
      <c r="K74" s="93"/>
      <c r="L74" s="93"/>
      <c r="M74" s="93"/>
      <c r="N74" s="93"/>
      <c r="O74" s="93"/>
      <c r="P74" s="93"/>
      <c r="Q74" s="93"/>
      <c r="R74" s="110"/>
    </row>
    <row r="75" spans="1:27" x14ac:dyDescent="0.25">
      <c r="A75" s="109"/>
      <c r="B75" s="93"/>
      <c r="C75" s="1119"/>
      <c r="D75" s="187" t="s">
        <v>355</v>
      </c>
      <c r="E75" s="188">
        <v>3.8</v>
      </c>
      <c r="F75" s="93"/>
      <c r="G75" s="93"/>
      <c r="H75" s="93"/>
      <c r="I75" s="93"/>
      <c r="J75" s="93"/>
      <c r="K75" s="93"/>
      <c r="L75" s="93"/>
      <c r="M75" s="93"/>
      <c r="N75" s="93"/>
      <c r="O75" s="93"/>
      <c r="P75" s="93"/>
      <c r="Q75" s="93"/>
      <c r="R75" s="110"/>
    </row>
    <row r="76" spans="1:27" ht="15.75" thickBot="1" x14ac:dyDescent="0.3">
      <c r="A76" s="109"/>
      <c r="B76" s="93"/>
      <c r="C76" s="1120"/>
      <c r="D76" s="169" t="s">
        <v>43</v>
      </c>
      <c r="E76" s="189" t="s">
        <v>386</v>
      </c>
      <c r="F76" s="93"/>
      <c r="G76" s="93"/>
      <c r="H76" s="93"/>
      <c r="I76" s="93"/>
      <c r="J76" s="93"/>
      <c r="K76" s="93"/>
      <c r="L76" s="93"/>
      <c r="M76" s="93"/>
      <c r="N76" s="93"/>
      <c r="O76" s="93"/>
      <c r="P76" s="93"/>
      <c r="Q76" s="93"/>
      <c r="R76" s="110"/>
    </row>
    <row r="77" spans="1:27" x14ac:dyDescent="0.25">
      <c r="A77" s="112"/>
      <c r="B77" s="96"/>
      <c r="C77" s="96"/>
      <c r="D77" s="96"/>
      <c r="E77" s="96"/>
      <c r="F77" s="96"/>
      <c r="G77" s="96"/>
      <c r="H77" s="96"/>
      <c r="I77" s="96"/>
      <c r="J77" s="96"/>
      <c r="K77" s="96"/>
      <c r="L77" s="96"/>
      <c r="M77" s="96"/>
      <c r="N77" s="96"/>
      <c r="O77" s="96"/>
      <c r="P77" s="96"/>
      <c r="Q77" s="96"/>
      <c r="R77" s="97"/>
    </row>
    <row r="78" spans="1:27" ht="15.75" thickBot="1" x14ac:dyDescent="0.3">
      <c r="A78" s="172"/>
      <c r="B78" s="55" t="s">
        <v>388</v>
      </c>
      <c r="C78" s="173" t="s">
        <v>389</v>
      </c>
      <c r="D78" s="117"/>
      <c r="E78" s="117"/>
      <c r="F78" s="117"/>
      <c r="G78" s="117"/>
      <c r="H78" s="117"/>
      <c r="I78" s="117"/>
      <c r="J78" s="117"/>
      <c r="K78" s="117"/>
      <c r="L78" s="117"/>
      <c r="M78" s="117"/>
      <c r="N78" s="117"/>
      <c r="O78" s="117"/>
      <c r="P78" s="117"/>
      <c r="Q78" s="117"/>
      <c r="R78" s="190"/>
    </row>
    <row r="79" spans="1:27" ht="18.75" customHeight="1" thickBot="1" x14ac:dyDescent="0.3">
      <c r="A79" s="1053" t="s">
        <v>366</v>
      </c>
      <c r="B79" s="1054"/>
      <c r="C79" s="1070" t="s">
        <v>390</v>
      </c>
      <c r="D79" s="1072" t="s">
        <v>391</v>
      </c>
      <c r="E79" s="1074" t="s">
        <v>392</v>
      </c>
      <c r="F79" s="191" t="s">
        <v>393</v>
      </c>
      <c r="G79" s="1076" t="s">
        <v>394</v>
      </c>
      <c r="H79" s="1077"/>
      <c r="I79" s="1078" t="s">
        <v>395</v>
      </c>
      <c r="J79" s="1079"/>
      <c r="K79" s="1080" t="s">
        <v>396</v>
      </c>
      <c r="L79" s="1059"/>
      <c r="M79" s="298" t="s">
        <v>397</v>
      </c>
      <c r="N79" s="298" t="s">
        <v>398</v>
      </c>
      <c r="O79" s="1059" t="s">
        <v>399</v>
      </c>
      <c r="P79" s="1059"/>
      <c r="Q79" s="1059" t="s">
        <v>400</v>
      </c>
      <c r="R79" s="1069"/>
      <c r="T79" s="1070" t="s">
        <v>390</v>
      </c>
      <c r="U79" s="1072" t="s">
        <v>391</v>
      </c>
      <c r="V79" s="1074" t="s">
        <v>392</v>
      </c>
      <c r="W79" s="191" t="s">
        <v>393</v>
      </c>
      <c r="X79" s="1076" t="s">
        <v>394</v>
      </c>
      <c r="Y79" s="1077"/>
      <c r="Z79" s="1078" t="s">
        <v>395</v>
      </c>
      <c r="AA79" s="1081"/>
    </row>
    <row r="80" spans="1:27" ht="26.25" thickBot="1" x14ac:dyDescent="0.3">
      <c r="A80" s="1055"/>
      <c r="B80" s="1056"/>
      <c r="C80" s="1071"/>
      <c r="D80" s="1073"/>
      <c r="E80" s="1075"/>
      <c r="F80" s="192" t="s">
        <v>401</v>
      </c>
      <c r="G80" s="193" t="s">
        <v>402</v>
      </c>
      <c r="H80" s="194" t="s">
        <v>355</v>
      </c>
      <c r="I80" s="194" t="s">
        <v>401</v>
      </c>
      <c r="J80" s="293" t="s">
        <v>402</v>
      </c>
      <c r="K80" s="299" t="s">
        <v>403</v>
      </c>
      <c r="L80" s="300" t="s">
        <v>404</v>
      </c>
      <c r="M80" s="300"/>
      <c r="N80" s="300"/>
      <c r="O80" s="300" t="s">
        <v>403</v>
      </c>
      <c r="P80" s="300" t="s">
        <v>404</v>
      </c>
      <c r="Q80" s="300" t="s">
        <v>403</v>
      </c>
      <c r="R80" s="301" t="s">
        <v>404</v>
      </c>
      <c r="T80" s="1071"/>
      <c r="U80" s="1073"/>
      <c r="V80" s="1075"/>
      <c r="W80" s="192" t="s">
        <v>401</v>
      </c>
      <c r="X80" s="193" t="s">
        <v>402</v>
      </c>
      <c r="Y80" s="194" t="s">
        <v>355</v>
      </c>
      <c r="Z80" s="194" t="s">
        <v>401</v>
      </c>
      <c r="AA80" s="195" t="s">
        <v>402</v>
      </c>
    </row>
    <row r="81" spans="1:27" x14ac:dyDescent="0.25">
      <c r="A81" s="1055"/>
      <c r="B81" s="1056"/>
      <c r="C81" s="196" t="s">
        <v>382</v>
      </c>
      <c r="D81" s="197">
        <v>700</v>
      </c>
      <c r="E81" s="198">
        <v>1300</v>
      </c>
      <c r="F81" s="199">
        <v>14.3</v>
      </c>
      <c r="G81" s="319">
        <v>17.399999999999999</v>
      </c>
      <c r="H81" s="263">
        <v>1.6</v>
      </c>
      <c r="I81" s="197">
        <f t="shared" ref="I81:I85" si="0">IF(AND(D81&lt;=$L$5*1000,E81&gt;=$L$5*1000),F81,"n.v.")</f>
        <v>14.3</v>
      </c>
      <c r="J81" s="294">
        <f>IF(AND(D81&lt;=$L$5*1000,E81&gt;=$L$5*1000),G81,"n.v.")</f>
        <v>17.399999999999999</v>
      </c>
      <c r="K81" s="302">
        <f>ROUNDUP($D$18/F81,0)</f>
        <v>5</v>
      </c>
      <c r="L81" s="297">
        <f>ROUNDUP($D$18/G81,0)</f>
        <v>4</v>
      </c>
      <c r="M81" s="297">
        <f t="shared" ref="M81:M84" si="1">ROUNDDOWN($L$5*1000/D81,0)</f>
        <v>1</v>
      </c>
      <c r="N81" s="297">
        <f>ROUNDUP($L$5*1000/E81,0)</f>
        <v>1</v>
      </c>
      <c r="O81" s="297">
        <f>IF(OR(K81&gt;M81,M81*E81&lt;$L$5,N81&gt;M81),0,1)</f>
        <v>0</v>
      </c>
      <c r="P81" s="297">
        <f>IF(OR(L81&gt;M81,M81*E81&lt;$L$5,N81&gt;M81),0,1)</f>
        <v>0</v>
      </c>
      <c r="Q81" s="297" t="str">
        <f>IF(O81&lt;&gt;0,MAX(K81,N81)*10+RIGHT(C81,1),"n.v.")</f>
        <v>n.v.</v>
      </c>
      <c r="R81" s="303" t="str">
        <f>IF(P81&lt;&gt;0,MAX(L81,N81)*10+RIGHT(C81,1),"n.v.")</f>
        <v>n.v.</v>
      </c>
      <c r="T81" s="196" t="s">
        <v>382</v>
      </c>
      <c r="U81" s="197">
        <v>700</v>
      </c>
      <c r="V81" s="198">
        <v>1300</v>
      </c>
      <c r="W81" s="257">
        <v>14.3</v>
      </c>
      <c r="X81" s="258">
        <v>17.399999999999999</v>
      </c>
      <c r="Y81" s="200">
        <v>1.6</v>
      </c>
      <c r="Z81" s="197">
        <f t="shared" ref="Z81:Z84" si="2">IF(AND(U81&lt;=$L$5*1000,V81&gt;=$L$5*1000),W81,"n.v.")</f>
        <v>14.3</v>
      </c>
      <c r="AA81" s="198">
        <f>IF(AND(U81&lt;=$L$5*1000,V81&gt;=$L$5*1000),X81,"n.v.")</f>
        <v>17.399999999999999</v>
      </c>
    </row>
    <row r="82" spans="1:27" x14ac:dyDescent="0.25">
      <c r="A82" s="1055"/>
      <c r="B82" s="1056"/>
      <c r="C82" s="196" t="s">
        <v>405</v>
      </c>
      <c r="D82" s="201">
        <v>700</v>
      </c>
      <c r="E82" s="202">
        <v>2000</v>
      </c>
      <c r="F82" s="199">
        <v>28.6</v>
      </c>
      <c r="G82" s="319">
        <v>34.799999999999997</v>
      </c>
      <c r="H82" s="200">
        <v>3.3</v>
      </c>
      <c r="I82" s="201">
        <f t="shared" si="0"/>
        <v>28.6</v>
      </c>
      <c r="J82" s="320">
        <f t="shared" ref="J82:J85" si="3">IF(AND(D82&lt;=$L$5*1000,E82&gt;=$L$5*1000),G82,"n.v.")</f>
        <v>34.799999999999997</v>
      </c>
      <c r="K82" s="304">
        <f t="shared" ref="K82:K85" si="4">ROUNDUP($D$18/F82,0)</f>
        <v>3</v>
      </c>
      <c r="L82" s="296">
        <f>ROUNDUP($D$18/G82,0)</f>
        <v>2</v>
      </c>
      <c r="M82" s="296">
        <f t="shared" si="1"/>
        <v>1</v>
      </c>
      <c r="N82" s="296">
        <f t="shared" ref="N82:N85" si="5">ROUNDUP($L$5*1000/E82,0)</f>
        <v>1</v>
      </c>
      <c r="O82" s="296">
        <f t="shared" ref="O82:O85" si="6">IF(OR(K82&gt;M82,M82*E82&lt;$L$5,N82&gt;M82),0,1)</f>
        <v>0</v>
      </c>
      <c r="P82" s="296">
        <f>IF(OR(L82&gt;M82,M82*E82&lt;$L$5,N82&gt;M82),0,1)</f>
        <v>0</v>
      </c>
      <c r="Q82" s="296" t="str">
        <f t="shared" ref="Q82:Q85" si="7">IF(O82&lt;&gt;0,MAX(K82,N82)*10+RIGHT(C82,1),"n.v.")</f>
        <v>n.v.</v>
      </c>
      <c r="R82" s="305" t="str">
        <f t="shared" ref="R82:R85" si="8">IF(P82&lt;&gt;0,MAX(L82,N82)*10+RIGHT(C82,1),"n.v.")</f>
        <v>n.v.</v>
      </c>
      <c r="T82" s="196" t="s">
        <v>383</v>
      </c>
      <c r="U82" s="201">
        <v>700</v>
      </c>
      <c r="V82" s="202">
        <v>2150</v>
      </c>
      <c r="W82" s="199">
        <v>21.45</v>
      </c>
      <c r="X82" s="259">
        <v>26.1</v>
      </c>
      <c r="Y82" s="200">
        <v>2.5</v>
      </c>
      <c r="Z82" s="201">
        <f t="shared" si="2"/>
        <v>21.45</v>
      </c>
      <c r="AA82" s="202">
        <f t="shared" ref="AA82:AA93" si="9">IF(AND(U82&lt;=$L$5*1000,V82&gt;=$L$5*1000),X82,"n.v.")</f>
        <v>26.1</v>
      </c>
    </row>
    <row r="83" spans="1:27" x14ac:dyDescent="0.25">
      <c r="A83" s="1055"/>
      <c r="B83" s="1056"/>
      <c r="C83" s="196" t="s">
        <v>406</v>
      </c>
      <c r="D83" s="201">
        <v>1000</v>
      </c>
      <c r="E83" s="202">
        <v>2000</v>
      </c>
      <c r="F83" s="199">
        <v>42.9</v>
      </c>
      <c r="G83" s="319">
        <v>52.2</v>
      </c>
      <c r="H83" s="200">
        <v>5</v>
      </c>
      <c r="I83" s="201">
        <f>IF(AND(D83&lt;=$L$5*1000,E83&gt;=$L$5*1000),F83,"n.v.")</f>
        <v>42.9</v>
      </c>
      <c r="J83" s="320">
        <f t="shared" si="3"/>
        <v>52.2</v>
      </c>
      <c r="K83" s="304">
        <f t="shared" si="4"/>
        <v>2</v>
      </c>
      <c r="L83" s="296">
        <f>ROUNDUP($D$18/G83,0)</f>
        <v>2</v>
      </c>
      <c r="M83" s="296">
        <f t="shared" si="1"/>
        <v>1</v>
      </c>
      <c r="N83" s="296">
        <f t="shared" si="5"/>
        <v>1</v>
      </c>
      <c r="O83" s="296">
        <f t="shared" si="6"/>
        <v>0</v>
      </c>
      <c r="P83" s="296">
        <f>IF(OR(L83&gt;M83,M83*E83&lt;$L$5,N83&gt;M83),0,1)</f>
        <v>0</v>
      </c>
      <c r="Q83" s="296" t="str">
        <f t="shared" si="7"/>
        <v>n.v.</v>
      </c>
      <c r="R83" s="305" t="str">
        <f t="shared" si="8"/>
        <v>n.v.</v>
      </c>
      <c r="T83" s="196" t="s">
        <v>405</v>
      </c>
      <c r="U83" s="201">
        <v>700</v>
      </c>
      <c r="V83" s="202">
        <v>2900</v>
      </c>
      <c r="W83" s="199">
        <v>28.6</v>
      </c>
      <c r="X83" s="259">
        <v>34.799999999999997</v>
      </c>
      <c r="Y83" s="200">
        <v>3.3</v>
      </c>
      <c r="Z83" s="201">
        <f t="shared" si="2"/>
        <v>28.6</v>
      </c>
      <c r="AA83" s="202">
        <f t="shared" si="9"/>
        <v>34.799999999999997</v>
      </c>
    </row>
    <row r="84" spans="1:27" x14ac:dyDescent="0.25">
      <c r="A84" s="1055"/>
      <c r="B84" s="1056"/>
      <c r="C84" s="196" t="s">
        <v>407</v>
      </c>
      <c r="D84" s="201">
        <v>1150</v>
      </c>
      <c r="E84" s="202">
        <v>1450</v>
      </c>
      <c r="F84" s="199">
        <v>50.05</v>
      </c>
      <c r="G84" s="319">
        <v>60.9</v>
      </c>
      <c r="H84" s="200">
        <v>5.8</v>
      </c>
      <c r="I84" s="201">
        <f t="shared" si="0"/>
        <v>50.05</v>
      </c>
      <c r="J84" s="320">
        <f t="shared" si="3"/>
        <v>60.9</v>
      </c>
      <c r="K84" s="304">
        <f t="shared" si="4"/>
        <v>2</v>
      </c>
      <c r="L84" s="296">
        <f>ROUNDUP($D$18/G84,0)</f>
        <v>1</v>
      </c>
      <c r="M84" s="296">
        <f t="shared" si="1"/>
        <v>1</v>
      </c>
      <c r="N84" s="296">
        <f t="shared" si="5"/>
        <v>1</v>
      </c>
      <c r="O84" s="296">
        <f t="shared" si="6"/>
        <v>0</v>
      </c>
      <c r="P84" s="296">
        <f>IF(OR(L84&gt;M84,M84*E84&lt;$L$5,N84&gt;M84),0,1)</f>
        <v>1</v>
      </c>
      <c r="Q84" s="296" t="str">
        <f t="shared" si="7"/>
        <v>n.v.</v>
      </c>
      <c r="R84" s="305">
        <f t="shared" si="8"/>
        <v>17</v>
      </c>
      <c r="T84" s="196" t="s">
        <v>408</v>
      </c>
      <c r="U84" s="201">
        <v>850</v>
      </c>
      <c r="V84" s="202">
        <v>3650</v>
      </c>
      <c r="W84" s="199">
        <v>35.75</v>
      </c>
      <c r="X84" s="259">
        <v>43.5</v>
      </c>
      <c r="Y84" s="200">
        <v>4.0999999999999996</v>
      </c>
      <c r="Z84" s="201">
        <f t="shared" si="2"/>
        <v>35.75</v>
      </c>
      <c r="AA84" s="202">
        <f t="shared" si="9"/>
        <v>43.5</v>
      </c>
    </row>
    <row r="85" spans="1:27" ht="15.75" thickBot="1" x14ac:dyDescent="0.3">
      <c r="A85" s="1055"/>
      <c r="B85" s="1056"/>
      <c r="C85" s="196" t="s">
        <v>409</v>
      </c>
      <c r="D85" s="203">
        <v>1300</v>
      </c>
      <c r="E85" s="204">
        <v>2000</v>
      </c>
      <c r="F85" s="199">
        <v>57.2</v>
      </c>
      <c r="G85" s="319">
        <v>69.599999999999994</v>
      </c>
      <c r="H85" s="205">
        <v>6.6</v>
      </c>
      <c r="I85" s="203">
        <f t="shared" si="0"/>
        <v>57.2</v>
      </c>
      <c r="J85" s="295">
        <f t="shared" si="3"/>
        <v>69.599999999999994</v>
      </c>
      <c r="K85" s="299">
        <f t="shared" si="4"/>
        <v>2</v>
      </c>
      <c r="L85" s="300">
        <f>ROUNDUP($D$18/G85,0)</f>
        <v>1</v>
      </c>
      <c r="M85" s="300">
        <f>ROUNDDOWN($L$5*1000/D85,0)</f>
        <v>1</v>
      </c>
      <c r="N85" s="300">
        <f t="shared" si="5"/>
        <v>1</v>
      </c>
      <c r="O85" s="300">
        <f t="shared" si="6"/>
        <v>0</v>
      </c>
      <c r="P85" s="300">
        <f>IF(OR(L85&gt;M85,M85*E85&lt;$L$5,N85&gt;M85),0,1)</f>
        <v>1</v>
      </c>
      <c r="Q85" s="300" t="str">
        <f t="shared" si="7"/>
        <v>n.v.</v>
      </c>
      <c r="R85" s="301">
        <f t="shared" si="8"/>
        <v>18</v>
      </c>
      <c r="T85" s="196" t="s">
        <v>406</v>
      </c>
      <c r="U85" s="201">
        <v>1000</v>
      </c>
      <c r="V85" s="202">
        <v>4400</v>
      </c>
      <c r="W85" s="199">
        <v>42.9</v>
      </c>
      <c r="X85" s="259">
        <v>52.2</v>
      </c>
      <c r="Y85" s="200">
        <v>5</v>
      </c>
      <c r="Z85" s="201">
        <f>IF(AND(U85&lt;=$L$5*1000,V85&gt;=$L$5*1000),W85,"n.v.")</f>
        <v>42.9</v>
      </c>
      <c r="AA85" s="202">
        <f t="shared" si="9"/>
        <v>52.2</v>
      </c>
    </row>
    <row r="86" spans="1:27" x14ac:dyDescent="0.25">
      <c r="A86" s="1055"/>
      <c r="B86" s="1056"/>
      <c r="C86" s="1060" t="s">
        <v>384</v>
      </c>
      <c r="D86" s="206" t="s">
        <v>410</v>
      </c>
      <c r="E86" s="256" t="s">
        <v>378</v>
      </c>
      <c r="F86" s="208" t="str">
        <f>_xlfn.XLOOKUP(F88,F81:F85,$C81:$C85,"???",0,1)</f>
        <v>???</v>
      </c>
      <c r="G86" s="209" t="str">
        <f>_xlfn.XLOOKUP(G88,G81:G85,$C81:$C85,"???",0,1)</f>
        <v>V7</v>
      </c>
      <c r="H86" s="93"/>
      <c r="I86" s="319"/>
      <c r="J86" s="93"/>
      <c r="K86" s="93"/>
      <c r="L86" s="93"/>
      <c r="M86" s="93"/>
      <c r="N86" s="93"/>
      <c r="O86" s="93"/>
      <c r="P86" s="93"/>
      <c r="Q86" s="93"/>
      <c r="R86" s="110"/>
      <c r="T86" s="196" t="s">
        <v>407</v>
      </c>
      <c r="U86" s="201">
        <v>1150</v>
      </c>
      <c r="V86" s="202">
        <v>5150</v>
      </c>
      <c r="W86" s="199">
        <v>50.05</v>
      </c>
      <c r="X86" s="259">
        <v>60.9</v>
      </c>
      <c r="Y86" s="200">
        <v>5.8</v>
      </c>
      <c r="Z86" s="201">
        <f t="shared" ref="Z86:Z93" si="10">IF(AND(U86&lt;=$L$5*1000,V86&gt;=$L$5*1000),W86,"n.v.")</f>
        <v>50.05</v>
      </c>
      <c r="AA86" s="202">
        <f t="shared" si="9"/>
        <v>60.9</v>
      </c>
    </row>
    <row r="87" spans="1:27" x14ac:dyDescent="0.25">
      <c r="A87" s="1055"/>
      <c r="B87" s="1056"/>
      <c r="C87" s="1061"/>
      <c r="D87" s="206"/>
      <c r="E87" s="256" t="s">
        <v>33</v>
      </c>
      <c r="F87" s="306" t="str">
        <f>LEFT(_xlfn.XLOOKUP(F86,C81:C85,Q81:Q85,0,0,1),1)</f>
        <v>0</v>
      </c>
      <c r="G87" s="307" t="str">
        <f>LEFT(_xlfn.XLOOKUP(G86,C81:C85,R81:R85,0,0,1),1)</f>
        <v>1</v>
      </c>
      <c r="H87" s="93"/>
      <c r="I87" s="319"/>
      <c r="J87" s="93"/>
      <c r="K87" s="93"/>
      <c r="L87" s="93"/>
      <c r="M87" s="93"/>
      <c r="N87" s="93"/>
      <c r="O87" s="93"/>
      <c r="P87" s="93"/>
      <c r="Q87" s="93"/>
      <c r="R87" s="110"/>
      <c r="T87" s="196"/>
      <c r="U87" s="201"/>
      <c r="V87" s="202"/>
      <c r="W87" s="199"/>
      <c r="X87" s="259"/>
      <c r="Y87" s="200"/>
      <c r="Z87" s="201"/>
      <c r="AA87" s="202"/>
    </row>
    <row r="88" spans="1:27" x14ac:dyDescent="0.25">
      <c r="A88" s="1055"/>
      <c r="B88" s="1056"/>
      <c r="C88" s="1061"/>
      <c r="D88" s="206"/>
      <c r="E88" s="210" t="s">
        <v>385</v>
      </c>
      <c r="F88" s="211">
        <f>_xlfn.XLOOKUP(MIN(Q81:Q85),Q81:Q85,F81:F85,0,0,1)</f>
        <v>0</v>
      </c>
      <c r="G88" s="212">
        <f>_xlfn.XLOOKUP(MIN(R81:R85),R81:R85,G81:G85,0,0,1)</f>
        <v>60.9</v>
      </c>
      <c r="H88" s="93"/>
      <c r="I88" s="93"/>
      <c r="J88" s="93"/>
      <c r="K88" s="93"/>
      <c r="L88" s="93"/>
      <c r="M88" s="93"/>
      <c r="N88" s="93"/>
      <c r="O88" s="93"/>
      <c r="P88" s="93"/>
      <c r="Q88" s="93"/>
      <c r="R88" s="110"/>
      <c r="T88" s="196" t="s">
        <v>409</v>
      </c>
      <c r="U88" s="201">
        <v>1300</v>
      </c>
      <c r="V88" s="202">
        <v>5900</v>
      </c>
      <c r="W88" s="199">
        <v>57.2</v>
      </c>
      <c r="X88" s="259">
        <v>69.599999999999994</v>
      </c>
      <c r="Y88" s="200">
        <v>6.6</v>
      </c>
      <c r="Z88" s="201">
        <f t="shared" si="10"/>
        <v>57.2</v>
      </c>
      <c r="AA88" s="202">
        <f t="shared" si="9"/>
        <v>69.599999999999994</v>
      </c>
    </row>
    <row r="89" spans="1:27" x14ac:dyDescent="0.25">
      <c r="A89" s="1055"/>
      <c r="B89" s="1056"/>
      <c r="C89" s="1061"/>
      <c r="D89" s="206"/>
      <c r="E89" s="210" t="s">
        <v>355</v>
      </c>
      <c r="F89" s="213" t="e">
        <f>VLOOKUP(F88,F81:H85,3,0)</f>
        <v>#N/A</v>
      </c>
      <c r="G89" s="214">
        <f>VLOOKUP(G88,G81:H85,2,0)</f>
        <v>5.8</v>
      </c>
      <c r="H89" s="93"/>
      <c r="I89" s="93"/>
      <c r="J89" s="93"/>
      <c r="K89" s="93"/>
      <c r="L89" s="93"/>
      <c r="M89" s="93"/>
      <c r="N89" s="93"/>
      <c r="O89" s="93"/>
      <c r="P89" s="93"/>
      <c r="Q89" s="93"/>
      <c r="R89" s="110"/>
      <c r="T89" s="196" t="s">
        <v>411</v>
      </c>
      <c r="U89" s="201">
        <v>1450</v>
      </c>
      <c r="V89" s="202">
        <v>6650</v>
      </c>
      <c r="W89" s="199">
        <v>64.349999999999994</v>
      </c>
      <c r="X89" s="259">
        <v>78.3</v>
      </c>
      <c r="Y89" s="200">
        <v>7.5</v>
      </c>
      <c r="Z89" s="201" t="str">
        <f t="shared" si="10"/>
        <v>n.v.</v>
      </c>
      <c r="AA89" s="202" t="str">
        <f t="shared" si="9"/>
        <v>n.v.</v>
      </c>
    </row>
    <row r="90" spans="1:27" ht="15.75" thickBot="1" x14ac:dyDescent="0.3">
      <c r="A90" s="1055"/>
      <c r="B90" s="1056"/>
      <c r="C90" s="1061"/>
      <c r="D90" s="215"/>
      <c r="E90" s="216" t="s">
        <v>43</v>
      </c>
      <c r="F90" s="217" t="s">
        <v>412</v>
      </c>
      <c r="G90" s="218" t="s">
        <v>386</v>
      </c>
      <c r="H90" s="93"/>
      <c r="I90" s="93"/>
      <c r="J90" s="93"/>
      <c r="K90" s="93"/>
      <c r="L90" s="93"/>
      <c r="M90" s="93"/>
      <c r="N90" s="93"/>
      <c r="O90" s="93"/>
      <c r="P90" s="93"/>
      <c r="Q90" s="93"/>
      <c r="R90" s="110"/>
      <c r="T90" s="196" t="s">
        <v>413</v>
      </c>
      <c r="U90" s="201">
        <v>1600</v>
      </c>
      <c r="V90" s="202">
        <v>7400</v>
      </c>
      <c r="W90" s="199">
        <v>71.5</v>
      </c>
      <c r="X90" s="259">
        <v>87</v>
      </c>
      <c r="Y90" s="200">
        <v>8.3000000000000007</v>
      </c>
      <c r="Z90" s="201" t="str">
        <f t="shared" si="10"/>
        <v>n.v.</v>
      </c>
      <c r="AA90" s="202" t="str">
        <f t="shared" si="9"/>
        <v>n.v.</v>
      </c>
    </row>
    <row r="91" spans="1:27" x14ac:dyDescent="0.25">
      <c r="A91" s="1055"/>
      <c r="B91" s="1056"/>
      <c r="C91" s="1061"/>
      <c r="D91" s="219" t="s">
        <v>414</v>
      </c>
      <c r="E91" s="207" t="s">
        <v>378</v>
      </c>
      <c r="F91" s="1063" t="str">
        <f>IF(AND($F$10&lt;&gt;"Fertigteil Negativfertigung",$F$10&lt;&gt;"nicht definiert",'BIEG - DANE'!$E$27*10&lt;180),F86,G86)</f>
        <v>V7</v>
      </c>
      <c r="G91" s="1064"/>
      <c r="H91" s="93"/>
      <c r="I91" s="93"/>
      <c r="J91" s="93"/>
      <c r="K91" s="93"/>
      <c r="L91" s="93"/>
      <c r="M91" s="93"/>
      <c r="N91" s="93"/>
      <c r="O91" s="93"/>
      <c r="P91" s="93"/>
      <c r="Q91" s="93"/>
      <c r="R91" s="110"/>
      <c r="T91" s="196" t="s">
        <v>415</v>
      </c>
      <c r="U91" s="201">
        <v>1750</v>
      </c>
      <c r="V91" s="202">
        <v>8150</v>
      </c>
      <c r="W91" s="199">
        <v>78.650000000000006</v>
      </c>
      <c r="X91" s="259">
        <v>95.7</v>
      </c>
      <c r="Y91" s="200">
        <v>9.1999999999999993</v>
      </c>
      <c r="Z91" s="201" t="str">
        <f t="shared" si="10"/>
        <v>n.v.</v>
      </c>
      <c r="AA91" s="202" t="str">
        <f t="shared" si="9"/>
        <v>n.v.</v>
      </c>
    </row>
    <row r="92" spans="1:27" x14ac:dyDescent="0.25">
      <c r="A92" s="1055"/>
      <c r="B92" s="1056"/>
      <c r="C92" s="1061"/>
      <c r="D92" s="206"/>
      <c r="E92" s="256" t="s">
        <v>33</v>
      </c>
      <c r="F92" s="1051" t="str">
        <f>INDEX(F87:G87,1,MATCH(F91,F86:G86,0))</f>
        <v>1</v>
      </c>
      <c r="G92" s="1052"/>
      <c r="H92" s="93"/>
      <c r="I92" s="93"/>
      <c r="J92" s="93"/>
      <c r="K92" s="93"/>
      <c r="L92" s="93"/>
      <c r="M92" s="93"/>
      <c r="N92" s="93"/>
      <c r="O92" s="93"/>
      <c r="P92" s="93"/>
      <c r="Q92" s="93"/>
      <c r="R92" s="110"/>
      <c r="T92" s="196"/>
      <c r="U92" s="201"/>
      <c r="V92" s="202"/>
      <c r="W92" s="199"/>
      <c r="X92" s="259"/>
      <c r="Y92" s="200"/>
      <c r="Z92" s="201"/>
      <c r="AA92" s="202"/>
    </row>
    <row r="93" spans="1:27" ht="15.75" thickBot="1" x14ac:dyDescent="0.3">
      <c r="A93" s="1055"/>
      <c r="B93" s="1056"/>
      <c r="C93" s="1061"/>
      <c r="D93" s="206"/>
      <c r="E93" s="210" t="s">
        <v>385</v>
      </c>
      <c r="F93" s="1065">
        <f>IF(AND($F$10&lt;&gt;"Fertigteil Negativfertigung",'BIEG - DANE'!$E$27*10&lt;180),F88,G88)</f>
        <v>60.9</v>
      </c>
      <c r="G93" s="1066"/>
      <c r="H93" s="93"/>
      <c r="I93" s="93"/>
      <c r="J93" s="93"/>
      <c r="K93" s="93"/>
      <c r="L93" s="93"/>
      <c r="M93" s="93"/>
      <c r="N93" s="93"/>
      <c r="O93" s="93"/>
      <c r="P93" s="93"/>
      <c r="Q93" s="93"/>
      <c r="R93" s="110"/>
      <c r="T93" s="174" t="s">
        <v>416</v>
      </c>
      <c r="U93" s="203">
        <v>1900</v>
      </c>
      <c r="V93" s="204">
        <v>8900</v>
      </c>
      <c r="W93" s="260">
        <v>85.8</v>
      </c>
      <c r="X93" s="261">
        <v>104.4</v>
      </c>
      <c r="Y93" s="205">
        <v>10</v>
      </c>
      <c r="Z93" s="203" t="str">
        <f t="shared" si="10"/>
        <v>n.v.</v>
      </c>
      <c r="AA93" s="204" t="str">
        <f t="shared" si="9"/>
        <v>n.v.</v>
      </c>
    </row>
    <row r="94" spans="1:27" x14ac:dyDescent="0.25">
      <c r="A94" s="1055"/>
      <c r="B94" s="1056"/>
      <c r="C94" s="1061"/>
      <c r="D94" s="206"/>
      <c r="E94" s="210" t="s">
        <v>355</v>
      </c>
      <c r="F94" s="1065">
        <f>IF(AND($F$10&lt;&gt;"Fertigteil Negativfertigung",'BIEG - DANE'!$E$27*10&lt;180),F89,G89)</f>
        <v>5.8</v>
      </c>
      <c r="G94" s="1066"/>
      <c r="H94" s="93"/>
      <c r="I94" s="93"/>
      <c r="J94" s="93"/>
      <c r="K94" s="93"/>
      <c r="L94" s="93"/>
      <c r="M94" s="93"/>
      <c r="N94" s="93"/>
      <c r="O94" s="93"/>
      <c r="P94" s="93"/>
      <c r="Q94" s="93"/>
      <c r="R94" s="110"/>
    </row>
    <row r="95" spans="1:27" ht="15.75" thickBot="1" x14ac:dyDescent="0.3">
      <c r="A95" s="1057"/>
      <c r="B95" s="1058"/>
      <c r="C95" s="1062"/>
      <c r="D95" s="215"/>
      <c r="E95" s="216" t="s">
        <v>43</v>
      </c>
      <c r="F95" s="1067" t="str">
        <f>IF(AND($F$10&lt;&gt;"Fertigteil Negativfertigung",'BIEG - DANE'!$E$27*10&lt;180),F90,G90)</f>
        <v>C30/37</v>
      </c>
      <c r="G95" s="1068"/>
      <c r="H95" s="93"/>
      <c r="I95" s="93"/>
      <c r="J95" s="93"/>
      <c r="K95" s="93"/>
      <c r="L95" s="93"/>
      <c r="M95" s="93"/>
      <c r="N95" s="93"/>
      <c r="O95" s="93"/>
      <c r="P95" s="93"/>
      <c r="Q95" s="93"/>
      <c r="R95" s="110"/>
    </row>
    <row r="96" spans="1:27" ht="18.75" customHeight="1" thickBot="1" x14ac:dyDescent="0.3">
      <c r="A96" s="1053" t="s">
        <v>367</v>
      </c>
      <c r="B96" s="1054"/>
      <c r="C96" s="1070" t="s">
        <v>390</v>
      </c>
      <c r="D96" s="1072" t="s">
        <v>391</v>
      </c>
      <c r="E96" s="1074" t="s">
        <v>392</v>
      </c>
      <c r="F96" s="191" t="s">
        <v>393</v>
      </c>
      <c r="G96" s="1076" t="s">
        <v>394</v>
      </c>
      <c r="H96" s="1077"/>
      <c r="I96" s="1078" t="s">
        <v>395</v>
      </c>
      <c r="J96" s="1079"/>
      <c r="K96" s="1080" t="s">
        <v>396</v>
      </c>
      <c r="L96" s="1059"/>
      <c r="M96" s="298" t="s">
        <v>397</v>
      </c>
      <c r="N96" s="298" t="s">
        <v>398</v>
      </c>
      <c r="O96" s="1059" t="s">
        <v>399</v>
      </c>
      <c r="P96" s="1059"/>
      <c r="Q96" s="1059" t="s">
        <v>400</v>
      </c>
      <c r="R96" s="1069"/>
    </row>
    <row r="97" spans="1:18" ht="26.25" thickBot="1" x14ac:dyDescent="0.3">
      <c r="A97" s="1055"/>
      <c r="B97" s="1056"/>
      <c r="C97" s="1071"/>
      <c r="D97" s="1073"/>
      <c r="E97" s="1075"/>
      <c r="F97" s="192" t="s">
        <v>401</v>
      </c>
      <c r="G97" s="193" t="s">
        <v>402</v>
      </c>
      <c r="H97" s="194" t="s">
        <v>355</v>
      </c>
      <c r="I97" s="194" t="s">
        <v>401</v>
      </c>
      <c r="J97" s="293" t="s">
        <v>402</v>
      </c>
      <c r="K97" s="299" t="s">
        <v>403</v>
      </c>
      <c r="L97" s="300" t="s">
        <v>404</v>
      </c>
      <c r="M97" s="300" t="s">
        <v>417</v>
      </c>
      <c r="N97" s="300" t="s">
        <v>418</v>
      </c>
      <c r="O97" s="300" t="s">
        <v>403</v>
      </c>
      <c r="P97" s="300" t="s">
        <v>404</v>
      </c>
      <c r="Q97" s="300" t="s">
        <v>403</v>
      </c>
      <c r="R97" s="301" t="s">
        <v>404</v>
      </c>
    </row>
    <row r="98" spans="1:18" x14ac:dyDescent="0.25">
      <c r="A98" s="1055"/>
      <c r="B98" s="1056"/>
      <c r="C98" s="196" t="s">
        <v>382</v>
      </c>
      <c r="D98" s="197">
        <v>700</v>
      </c>
      <c r="E98" s="198">
        <v>1300</v>
      </c>
      <c r="F98" s="199">
        <v>14.3</v>
      </c>
      <c r="G98" s="319">
        <v>17.399999999999999</v>
      </c>
      <c r="H98" s="263">
        <v>1.6</v>
      </c>
      <c r="I98" s="197">
        <f t="shared" ref="I98:I99" si="11">IF(AND(D98&lt;=$L$5*1000,E98&gt;=$L$5*1000),F98,"n.v.")</f>
        <v>14.3</v>
      </c>
      <c r="J98" s="294">
        <f>IF(AND(D98&lt;=$L$5*1000,E98&gt;=$L$5*1000),G98,"n.v.")</f>
        <v>17.399999999999999</v>
      </c>
      <c r="K98" s="302">
        <f>ROUNDUP($D$21/F98,0)</f>
        <v>5</v>
      </c>
      <c r="L98" s="297">
        <f>ROUNDUP($D$21/G98,0)</f>
        <v>4</v>
      </c>
      <c r="M98" s="297">
        <f t="shared" ref="M98:M102" si="12">ROUNDDOWN($L$5*1000/D98,0)</f>
        <v>1</v>
      </c>
      <c r="N98" s="297">
        <f>ROUNDUP($L$5*1000/E98,0)</f>
        <v>1</v>
      </c>
      <c r="O98" s="297">
        <f>IF(OR(K98&gt;M98,M98*E98&lt;$L$5,N98&gt;M98),0,1)</f>
        <v>0</v>
      </c>
      <c r="P98" s="297">
        <f>IF(OR(L98&gt;M98,M98*E98&lt;$L$5,N98&gt;M98),0,1)</f>
        <v>0</v>
      </c>
      <c r="Q98" s="297" t="str">
        <f>IF(O98&lt;&gt;0,MAX(K98,N98)*10+RIGHT(C98,1),"n.v.")</f>
        <v>n.v.</v>
      </c>
      <c r="R98" s="303" t="str">
        <f>IF(P98&lt;&gt;0,MAX(L98,N98)*10+RIGHT(C98,1),"n.v.")</f>
        <v>n.v.</v>
      </c>
    </row>
    <row r="99" spans="1:18" x14ac:dyDescent="0.25">
      <c r="A99" s="1055"/>
      <c r="B99" s="1056"/>
      <c r="C99" s="196" t="s">
        <v>405</v>
      </c>
      <c r="D99" s="201">
        <v>700</v>
      </c>
      <c r="E99" s="202">
        <v>2000</v>
      </c>
      <c r="F99" s="199">
        <v>28.6</v>
      </c>
      <c r="G99" s="319">
        <v>34.799999999999997</v>
      </c>
      <c r="H99" s="200">
        <v>3.3</v>
      </c>
      <c r="I99" s="201">
        <f t="shared" si="11"/>
        <v>28.6</v>
      </c>
      <c r="J99" s="320">
        <f t="shared" ref="J99:J102" si="13">IF(AND(D99&lt;=$L$5*1000,E99&gt;=$L$5*1000),G99,"n.v.")</f>
        <v>34.799999999999997</v>
      </c>
      <c r="K99" s="304">
        <f t="shared" ref="K99:K102" si="14">ROUNDUP($D$21/F99,0)</f>
        <v>3</v>
      </c>
      <c r="L99" s="296">
        <f t="shared" ref="L99:L102" si="15">ROUNDUP($D$21/G99,0)</f>
        <v>2</v>
      </c>
      <c r="M99" s="296">
        <f t="shared" si="12"/>
        <v>1</v>
      </c>
      <c r="N99" s="296">
        <f t="shared" ref="N99:N102" si="16">ROUNDUP($L$5*1000/E99,0)</f>
        <v>1</v>
      </c>
      <c r="O99" s="296">
        <f t="shared" ref="O99:O102" si="17">IF(OR(K99&gt;M99,M99*E99&lt;$L$5,N99&gt;M99),0,1)</f>
        <v>0</v>
      </c>
      <c r="P99" s="296">
        <f t="shared" ref="P99:P102" si="18">IF(OR(L99&gt;M99,M99*E99&lt;$L$5,N99&gt;M99),0,1)</f>
        <v>0</v>
      </c>
      <c r="Q99" s="296" t="str">
        <f t="shared" ref="Q99:Q102" si="19">IF(O99&lt;&gt;0,MAX(K99,N99)*10+RIGHT(C99,1),"n.v.")</f>
        <v>n.v.</v>
      </c>
      <c r="R99" s="305" t="str">
        <f t="shared" ref="R99:R102" si="20">IF(P99&lt;&gt;0,MAX(L99,N99)*10+RIGHT(C99,1),"n.v.")</f>
        <v>n.v.</v>
      </c>
    </row>
    <row r="100" spans="1:18" x14ac:dyDescent="0.25">
      <c r="A100" s="1055"/>
      <c r="B100" s="1056"/>
      <c r="C100" s="196" t="s">
        <v>406</v>
      </c>
      <c r="D100" s="201">
        <v>1000</v>
      </c>
      <c r="E100" s="202">
        <v>2000</v>
      </c>
      <c r="F100" s="199">
        <v>42.9</v>
      </c>
      <c r="G100" s="319">
        <v>52.2</v>
      </c>
      <c r="H100" s="200">
        <v>5</v>
      </c>
      <c r="I100" s="201">
        <f>IF(AND(D100&lt;=$L$5*1000,E100&gt;=$L$5*1000),F100,"n.v.")</f>
        <v>42.9</v>
      </c>
      <c r="J100" s="320">
        <f t="shared" si="13"/>
        <v>52.2</v>
      </c>
      <c r="K100" s="304">
        <f t="shared" si="14"/>
        <v>2</v>
      </c>
      <c r="L100" s="296">
        <f t="shared" si="15"/>
        <v>2</v>
      </c>
      <c r="M100" s="296">
        <f t="shared" si="12"/>
        <v>1</v>
      </c>
      <c r="N100" s="296">
        <f t="shared" si="16"/>
        <v>1</v>
      </c>
      <c r="O100" s="296">
        <f t="shared" si="17"/>
        <v>0</v>
      </c>
      <c r="P100" s="296">
        <f t="shared" si="18"/>
        <v>0</v>
      </c>
      <c r="Q100" s="296" t="str">
        <f t="shared" si="19"/>
        <v>n.v.</v>
      </c>
      <c r="R100" s="305" t="str">
        <f t="shared" si="20"/>
        <v>n.v.</v>
      </c>
    </row>
    <row r="101" spans="1:18" x14ac:dyDescent="0.25">
      <c r="A101" s="1055"/>
      <c r="B101" s="1056"/>
      <c r="C101" s="196" t="s">
        <v>407</v>
      </c>
      <c r="D101" s="201">
        <v>1150</v>
      </c>
      <c r="E101" s="202">
        <v>1450</v>
      </c>
      <c r="F101" s="199">
        <v>50.05</v>
      </c>
      <c r="G101" s="319">
        <v>60.9</v>
      </c>
      <c r="H101" s="200">
        <v>5.8</v>
      </c>
      <c r="I101" s="201">
        <f t="shared" ref="I101:I102" si="21">IF(AND(D101&lt;=$L$5*1000,E101&gt;=$L$5*1000),F101,"n.v.")</f>
        <v>50.05</v>
      </c>
      <c r="J101" s="320">
        <f t="shared" si="13"/>
        <v>60.9</v>
      </c>
      <c r="K101" s="304">
        <f t="shared" si="14"/>
        <v>2</v>
      </c>
      <c r="L101" s="296">
        <f t="shared" si="15"/>
        <v>1</v>
      </c>
      <c r="M101" s="296">
        <f t="shared" si="12"/>
        <v>1</v>
      </c>
      <c r="N101" s="296">
        <f t="shared" si="16"/>
        <v>1</v>
      </c>
      <c r="O101" s="296">
        <f t="shared" si="17"/>
        <v>0</v>
      </c>
      <c r="P101" s="296">
        <f t="shared" si="18"/>
        <v>1</v>
      </c>
      <c r="Q101" s="296" t="str">
        <f t="shared" si="19"/>
        <v>n.v.</v>
      </c>
      <c r="R101" s="305">
        <f t="shared" si="20"/>
        <v>17</v>
      </c>
    </row>
    <row r="102" spans="1:18" ht="15.75" thickBot="1" x14ac:dyDescent="0.3">
      <c r="A102" s="1055"/>
      <c r="B102" s="1056"/>
      <c r="C102" s="196" t="s">
        <v>409</v>
      </c>
      <c r="D102" s="203">
        <v>1300</v>
      </c>
      <c r="E102" s="204">
        <v>2000</v>
      </c>
      <c r="F102" s="199">
        <v>57.2</v>
      </c>
      <c r="G102" s="319">
        <v>69.599999999999994</v>
      </c>
      <c r="H102" s="205">
        <v>6.6</v>
      </c>
      <c r="I102" s="203">
        <f t="shared" si="21"/>
        <v>57.2</v>
      </c>
      <c r="J102" s="295">
        <f t="shared" si="13"/>
        <v>69.599999999999994</v>
      </c>
      <c r="K102" s="299">
        <f t="shared" si="14"/>
        <v>2</v>
      </c>
      <c r="L102" s="300">
        <f t="shared" si="15"/>
        <v>1</v>
      </c>
      <c r="M102" s="300">
        <f t="shared" si="12"/>
        <v>1</v>
      </c>
      <c r="N102" s="300">
        <f t="shared" si="16"/>
        <v>1</v>
      </c>
      <c r="O102" s="300">
        <f t="shared" si="17"/>
        <v>0</v>
      </c>
      <c r="P102" s="300">
        <f t="shared" si="18"/>
        <v>1</v>
      </c>
      <c r="Q102" s="300" t="str">
        <f t="shared" si="19"/>
        <v>n.v.</v>
      </c>
      <c r="R102" s="301">
        <f t="shared" si="20"/>
        <v>18</v>
      </c>
    </row>
    <row r="103" spans="1:18" x14ac:dyDescent="0.25">
      <c r="A103" s="1055"/>
      <c r="B103" s="1056"/>
      <c r="C103" s="1060" t="s">
        <v>387</v>
      </c>
      <c r="D103" s="206" t="s">
        <v>410</v>
      </c>
      <c r="E103" s="207" t="s">
        <v>378</v>
      </c>
      <c r="F103" s="208" t="str">
        <f>_xlfn.XLOOKUP(F105,F81:F85,$C81:$C85,"???",0,1)</f>
        <v>???</v>
      </c>
      <c r="G103" s="209" t="str">
        <f>_xlfn.XLOOKUP(G105,G81:G85,$C81:$C85,"???",0,1)</f>
        <v>V7</v>
      </c>
      <c r="H103" s="93"/>
      <c r="I103" s="319"/>
      <c r="J103" s="93"/>
      <c r="K103" s="93"/>
      <c r="L103" s="93"/>
      <c r="M103" s="93"/>
      <c r="N103" s="93"/>
      <c r="O103" s="93"/>
      <c r="P103" s="93"/>
      <c r="Q103" s="93"/>
      <c r="R103" s="110"/>
    </row>
    <row r="104" spans="1:18" x14ac:dyDescent="0.25">
      <c r="A104" s="1055"/>
      <c r="B104" s="1056"/>
      <c r="C104" s="1061"/>
      <c r="D104" s="206"/>
      <c r="E104" s="256" t="s">
        <v>33</v>
      </c>
      <c r="F104" s="306" t="str">
        <f>LEFT(_xlfn.XLOOKUP(F103,C98:C102,Q98:Q102,0,0,1),1)</f>
        <v>0</v>
      </c>
      <c r="G104" s="307" t="str">
        <f>LEFT(_xlfn.XLOOKUP(G103,C98:C102,R98:R102,0,0,1),1)</f>
        <v>1</v>
      </c>
      <c r="H104" s="93"/>
      <c r="I104" s="319"/>
      <c r="J104" s="93"/>
      <c r="K104" s="93"/>
      <c r="L104" s="93"/>
      <c r="M104" s="93"/>
      <c r="N104" s="93"/>
      <c r="O104" s="93"/>
      <c r="P104" s="93"/>
      <c r="Q104" s="93"/>
      <c r="R104" s="110"/>
    </row>
    <row r="105" spans="1:18" x14ac:dyDescent="0.25">
      <c r="A105" s="1055"/>
      <c r="B105" s="1056"/>
      <c r="C105" s="1061"/>
      <c r="D105" s="206"/>
      <c r="E105" s="210" t="s">
        <v>385</v>
      </c>
      <c r="F105" s="211">
        <f>_xlfn.XLOOKUP(MIN(Q98:Q102),Q98:Q102,F98:F102,0,0,1)</f>
        <v>0</v>
      </c>
      <c r="G105" s="212">
        <f>_xlfn.XLOOKUP(MIN(R98:R102),R98:R102,G98:G102,0,0,1)</f>
        <v>60.9</v>
      </c>
      <c r="H105" s="93"/>
      <c r="I105" s="93"/>
      <c r="J105" s="93"/>
      <c r="K105" s="93"/>
      <c r="L105" s="93"/>
      <c r="M105" s="93"/>
      <c r="N105" s="93"/>
      <c r="O105" s="93"/>
      <c r="P105" s="93"/>
      <c r="Q105" s="93"/>
      <c r="R105" s="110"/>
    </row>
    <row r="106" spans="1:18" x14ac:dyDescent="0.25">
      <c r="A106" s="1055"/>
      <c r="B106" s="1056"/>
      <c r="C106" s="1061"/>
      <c r="D106" s="206"/>
      <c r="E106" s="210" t="s">
        <v>355</v>
      </c>
      <c r="F106" s="213" t="e">
        <f>VLOOKUP(F105,F81:H85,3,0)</f>
        <v>#N/A</v>
      </c>
      <c r="G106" s="214">
        <f>VLOOKUP(G105,G81:H85,2,0)</f>
        <v>5.8</v>
      </c>
      <c r="H106" s="93"/>
      <c r="I106" s="93"/>
      <c r="J106" s="93"/>
      <c r="K106" s="93"/>
      <c r="L106" s="93"/>
      <c r="M106" s="93"/>
      <c r="N106" s="93"/>
      <c r="O106" s="93"/>
      <c r="P106" s="93"/>
      <c r="Q106" s="93"/>
      <c r="R106" s="110"/>
    </row>
    <row r="107" spans="1:18" ht="15.75" thickBot="1" x14ac:dyDescent="0.3">
      <c r="A107" s="1055"/>
      <c r="B107" s="1056"/>
      <c r="C107" s="1061"/>
      <c r="D107" s="215"/>
      <c r="E107" s="216" t="s">
        <v>43</v>
      </c>
      <c r="F107" s="217" t="s">
        <v>412</v>
      </c>
      <c r="G107" s="218" t="s">
        <v>386</v>
      </c>
      <c r="H107" s="93"/>
      <c r="I107" s="93"/>
      <c r="J107" s="93"/>
      <c r="K107" s="93"/>
      <c r="L107" s="93"/>
      <c r="M107" s="93"/>
      <c r="N107" s="93"/>
      <c r="O107" s="93"/>
      <c r="P107" s="93"/>
      <c r="Q107" s="93"/>
      <c r="R107" s="110"/>
    </row>
    <row r="108" spans="1:18" x14ac:dyDescent="0.25">
      <c r="A108" s="1055"/>
      <c r="B108" s="1056"/>
      <c r="C108" s="1061"/>
      <c r="D108" s="219" t="s">
        <v>414</v>
      </c>
      <c r="E108" s="207" t="s">
        <v>378</v>
      </c>
      <c r="F108" s="1063" t="str">
        <f>IF(AND($F$10&lt;&gt;"Fertigteil Negativfertigung",$F$10&lt;&gt;"nicht definiert",'BIEG - DANE'!$E$29*10&lt;180),F103,G103)</f>
        <v>V7</v>
      </c>
      <c r="G108" s="1064"/>
      <c r="H108" s="93"/>
      <c r="I108" s="93"/>
      <c r="J108" s="93"/>
      <c r="K108" s="93"/>
      <c r="L108" s="93"/>
      <c r="M108" s="93"/>
      <c r="N108" s="93"/>
      <c r="O108" s="93"/>
      <c r="P108" s="93"/>
      <c r="Q108" s="93"/>
      <c r="R108" s="110"/>
    </row>
    <row r="109" spans="1:18" x14ac:dyDescent="0.25">
      <c r="A109" s="1055"/>
      <c r="B109" s="1056"/>
      <c r="C109" s="1061"/>
      <c r="D109" s="206"/>
      <c r="E109" s="256" t="s">
        <v>33</v>
      </c>
      <c r="F109" s="1051" t="str">
        <f>INDEX(F104:G104,1,MATCH(F108,F103:G103,0))</f>
        <v>1</v>
      </c>
      <c r="G109" s="1052"/>
      <c r="H109" s="93"/>
      <c r="I109" s="93"/>
      <c r="J109" s="93"/>
      <c r="K109" s="93"/>
      <c r="L109" s="93"/>
      <c r="M109" s="93"/>
      <c r="N109" s="93"/>
      <c r="O109" s="93"/>
      <c r="P109" s="93"/>
      <c r="Q109" s="93"/>
      <c r="R109" s="110"/>
    </row>
    <row r="110" spans="1:18" x14ac:dyDescent="0.25">
      <c r="A110" s="1055"/>
      <c r="B110" s="1056"/>
      <c r="C110" s="1061"/>
      <c r="D110" s="206"/>
      <c r="E110" s="210" t="s">
        <v>385</v>
      </c>
      <c r="F110" s="1065">
        <f>IF(AND($F$10&lt;&gt;"Fertigteil Negativfertigung",'BIEG - DANE'!$E$29*10&lt;180),F105,G105)</f>
        <v>60.9</v>
      </c>
      <c r="G110" s="1066"/>
      <c r="H110" s="93"/>
      <c r="I110" s="93"/>
      <c r="J110" s="93"/>
      <c r="K110" s="93"/>
      <c r="L110" s="93"/>
      <c r="M110" s="93"/>
      <c r="N110" s="93"/>
      <c r="O110" s="93"/>
      <c r="P110" s="93"/>
      <c r="Q110" s="93"/>
      <c r="R110" s="110"/>
    </row>
    <row r="111" spans="1:18" x14ac:dyDescent="0.25">
      <c r="A111" s="1055"/>
      <c r="B111" s="1056"/>
      <c r="C111" s="1061"/>
      <c r="D111" s="206"/>
      <c r="E111" s="210" t="s">
        <v>355</v>
      </c>
      <c r="F111" s="1065">
        <f>IF(AND($F$10&lt;&gt;"Fertigteil Negativfertigung",'BIEG - DANE'!$E$29*10&lt;180),F106,G106)</f>
        <v>5.8</v>
      </c>
      <c r="G111" s="1066"/>
      <c r="H111" s="93"/>
      <c r="I111" s="93"/>
      <c r="J111" s="93"/>
      <c r="K111" s="93"/>
      <c r="L111" s="93"/>
      <c r="M111" s="93"/>
      <c r="N111" s="93"/>
      <c r="O111" s="93"/>
      <c r="P111" s="93"/>
      <c r="Q111" s="93"/>
      <c r="R111" s="110"/>
    </row>
    <row r="112" spans="1:18" ht="15.75" thickBot="1" x14ac:dyDescent="0.3">
      <c r="A112" s="1057"/>
      <c r="B112" s="1058"/>
      <c r="C112" s="1062"/>
      <c r="D112" s="215"/>
      <c r="E112" s="216" t="s">
        <v>43</v>
      </c>
      <c r="F112" s="1067" t="str">
        <f>IF(AND($F$10&lt;&gt;"Fertigteil Negativfertigung",'BIEG - DANE'!$E$29*10&lt;180),F107,G107)</f>
        <v>C30/37</v>
      </c>
      <c r="G112" s="1068"/>
      <c r="H112" s="93"/>
      <c r="I112" s="93"/>
      <c r="J112" s="93"/>
      <c r="K112" s="93"/>
      <c r="L112" s="93"/>
      <c r="M112" s="93"/>
      <c r="N112" s="93"/>
      <c r="O112" s="93"/>
      <c r="P112" s="93"/>
      <c r="Q112" s="93"/>
      <c r="R112" s="110"/>
    </row>
    <row r="113" spans="1:18" x14ac:dyDescent="0.25">
      <c r="A113" s="112"/>
      <c r="B113" s="96"/>
      <c r="C113" s="96"/>
      <c r="D113" s="96"/>
      <c r="E113" s="96"/>
      <c r="F113" s="96"/>
      <c r="G113" s="96"/>
      <c r="H113" s="96"/>
      <c r="I113" s="96"/>
      <c r="J113" s="96"/>
      <c r="K113" s="96"/>
      <c r="L113" s="96"/>
      <c r="M113" s="96"/>
      <c r="N113" s="96"/>
      <c r="O113" s="96"/>
      <c r="P113" s="96"/>
      <c r="Q113" s="96"/>
      <c r="R113" s="97"/>
    </row>
    <row r="114" spans="1:18" ht="15.75" thickBot="1" x14ac:dyDescent="0.3">
      <c r="A114" s="34"/>
      <c r="B114" s="53" t="s">
        <v>419</v>
      </c>
      <c r="C114" s="54" t="s">
        <v>420</v>
      </c>
      <c r="D114" s="42"/>
      <c r="E114" s="42"/>
      <c r="F114" s="42"/>
      <c r="G114" s="42"/>
      <c r="H114" s="42"/>
      <c r="I114" s="42"/>
      <c r="J114" s="42"/>
      <c r="K114" s="42"/>
      <c r="L114" s="42"/>
      <c r="M114" s="42"/>
      <c r="N114" s="42"/>
      <c r="O114" s="42"/>
      <c r="P114" s="42"/>
      <c r="Q114" s="42"/>
      <c r="R114" s="47"/>
    </row>
    <row r="115" spans="1:18" x14ac:dyDescent="0.25">
      <c r="A115" s="41"/>
      <c r="B115" s="42"/>
      <c r="C115" s="1082" t="s">
        <v>421</v>
      </c>
      <c r="D115" s="1083"/>
      <c r="E115" s="1083"/>
      <c r="F115" s="1083"/>
      <c r="G115" s="1083"/>
      <c r="H115" s="1084"/>
      <c r="I115" s="42"/>
      <c r="J115" s="42"/>
      <c r="K115" s="42"/>
      <c r="L115" s="42"/>
      <c r="M115" s="42"/>
      <c r="N115" s="42"/>
      <c r="O115" s="42"/>
      <c r="P115" s="42"/>
      <c r="Q115" s="42"/>
      <c r="R115" s="47"/>
    </row>
    <row r="116" spans="1:18" ht="18.75" thickBot="1" x14ac:dyDescent="0.4">
      <c r="A116" s="41"/>
      <c r="B116" s="42"/>
      <c r="C116" s="1085" t="s">
        <v>422</v>
      </c>
      <c r="D116" s="1086"/>
      <c r="E116" s="1086"/>
      <c r="F116" s="1086"/>
      <c r="G116" s="1086"/>
      <c r="H116" s="1087"/>
      <c r="I116" s="42"/>
      <c r="J116" s="42"/>
      <c r="K116" s="42"/>
      <c r="L116" s="42"/>
      <c r="M116" s="42"/>
      <c r="N116" s="42"/>
      <c r="O116" s="42"/>
      <c r="P116" s="42"/>
      <c r="Q116" s="42"/>
      <c r="R116" s="47"/>
    </row>
    <row r="117" spans="1:18" ht="30" x14ac:dyDescent="0.25">
      <c r="A117" s="41"/>
      <c r="B117" s="42"/>
      <c r="C117" s="60" t="s">
        <v>423</v>
      </c>
      <c r="D117" s="60" t="s">
        <v>424</v>
      </c>
      <c r="E117" s="1082" t="s">
        <v>43</v>
      </c>
      <c r="F117" s="1083"/>
      <c r="G117" s="1083"/>
      <c r="H117" s="1084"/>
      <c r="I117" s="42"/>
      <c r="J117" s="42"/>
      <c r="K117" s="42"/>
      <c r="L117" s="42"/>
      <c r="M117" s="42"/>
      <c r="N117" s="42"/>
      <c r="O117" s="42"/>
      <c r="P117" s="42"/>
      <c r="Q117" s="42"/>
      <c r="R117" s="47"/>
    </row>
    <row r="118" spans="1:18" ht="30.75" thickBot="1" x14ac:dyDescent="0.3">
      <c r="A118" s="41"/>
      <c r="B118" s="42"/>
      <c r="C118" s="85" t="s">
        <v>425</v>
      </c>
      <c r="D118" s="85" t="s">
        <v>425</v>
      </c>
      <c r="E118" s="61" t="s">
        <v>412</v>
      </c>
      <c r="F118" s="62" t="s">
        <v>426</v>
      </c>
      <c r="G118" s="62" t="s">
        <v>386</v>
      </c>
      <c r="H118" s="86" t="s">
        <v>427</v>
      </c>
      <c r="I118" s="42"/>
      <c r="J118" s="42"/>
      <c r="K118" s="42"/>
      <c r="L118" s="42"/>
      <c r="M118" s="42"/>
      <c r="N118" s="42"/>
      <c r="O118" s="42"/>
      <c r="P118" s="42"/>
      <c r="Q118" s="42"/>
      <c r="R118" s="47"/>
    </row>
    <row r="119" spans="1:18" x14ac:dyDescent="0.25">
      <c r="A119" s="41"/>
      <c r="B119" s="42"/>
      <c r="C119" s="63">
        <v>15</v>
      </c>
      <c r="D119" s="64"/>
      <c r="E119" s="67">
        <v>57</v>
      </c>
      <c r="F119" s="68">
        <v>60.4</v>
      </c>
      <c r="G119" s="68">
        <v>63.6</v>
      </c>
      <c r="H119" s="87">
        <v>65</v>
      </c>
      <c r="I119" s="42"/>
      <c r="J119" s="42"/>
      <c r="K119" s="42"/>
      <c r="L119" s="42"/>
      <c r="M119" s="42"/>
      <c r="N119" s="42"/>
      <c r="O119" s="42"/>
      <c r="P119" s="42"/>
      <c r="Q119" s="42"/>
      <c r="R119" s="47"/>
    </row>
    <row r="120" spans="1:18" ht="15.75" thickBot="1" x14ac:dyDescent="0.3">
      <c r="A120" s="41"/>
      <c r="B120" s="42"/>
      <c r="C120" s="65">
        <v>20</v>
      </c>
      <c r="D120" s="65"/>
      <c r="E120" s="69">
        <v>55.97</v>
      </c>
      <c r="F120" s="70">
        <v>59.34</v>
      </c>
      <c r="G120" s="70">
        <v>62.12</v>
      </c>
      <c r="H120" s="88">
        <v>62.12</v>
      </c>
      <c r="I120" s="42"/>
      <c r="J120" s="42" t="s">
        <v>366</v>
      </c>
      <c r="K120" s="42"/>
      <c r="L120" s="42" t="s">
        <v>367</v>
      </c>
      <c r="M120" s="42"/>
      <c r="N120" s="42"/>
      <c r="O120" s="42"/>
      <c r="P120" s="42"/>
      <c r="Q120" s="42"/>
      <c r="R120" s="47"/>
    </row>
    <row r="121" spans="1:18" x14ac:dyDescent="0.25">
      <c r="A121" s="41"/>
      <c r="B121" s="42"/>
      <c r="C121" s="65">
        <v>30</v>
      </c>
      <c r="D121" s="65"/>
      <c r="E121" s="69">
        <v>54.01</v>
      </c>
      <c r="F121" s="70">
        <v>56.76</v>
      </c>
      <c r="G121" s="70">
        <v>56.76</v>
      </c>
      <c r="H121" s="88">
        <v>56.77</v>
      </c>
      <c r="I121" s="42"/>
      <c r="J121" s="83" t="s">
        <v>428</v>
      </c>
      <c r="K121" s="84"/>
      <c r="L121" s="83" t="s">
        <v>428</v>
      </c>
      <c r="M121" s="291"/>
      <c r="N121" s="291"/>
      <c r="O121" s="291"/>
      <c r="P121" s="291"/>
      <c r="Q121" s="291"/>
      <c r="R121" s="84"/>
    </row>
    <row r="122" spans="1:18" ht="15.75" thickBot="1" x14ac:dyDescent="0.3">
      <c r="A122" s="41"/>
      <c r="B122" s="42"/>
      <c r="C122" s="65">
        <v>40</v>
      </c>
      <c r="D122" s="65"/>
      <c r="E122" s="69">
        <v>52.07</v>
      </c>
      <c r="F122" s="70">
        <v>52.07</v>
      </c>
      <c r="G122" s="70">
        <v>52.07</v>
      </c>
      <c r="H122" s="88">
        <v>52.09</v>
      </c>
      <c r="I122" s="42"/>
      <c r="J122" s="1088" t="str">
        <f>RIGHT('BIEG - DANE'!D16,6)</f>
        <v>C30/37</v>
      </c>
      <c r="K122" s="1090"/>
      <c r="L122" s="1088" t="str">
        <f>RIGHT('BIEG - DANE'!D16,6)</f>
        <v>C30/37</v>
      </c>
      <c r="M122" s="1089"/>
      <c r="N122" s="1089"/>
      <c r="O122" s="1089"/>
      <c r="P122" s="1089"/>
      <c r="Q122" s="1089"/>
      <c r="R122" s="1090"/>
    </row>
    <row r="123" spans="1:18" x14ac:dyDescent="0.25">
      <c r="A123" s="41"/>
      <c r="B123" s="42"/>
      <c r="C123" s="65">
        <v>50</v>
      </c>
      <c r="D123" s="65"/>
      <c r="E123" s="69">
        <v>48.09</v>
      </c>
      <c r="F123" s="70">
        <v>48.09</v>
      </c>
      <c r="G123" s="70">
        <v>48.09</v>
      </c>
      <c r="H123" s="88">
        <v>48.11</v>
      </c>
      <c r="I123" s="42"/>
      <c r="J123" s="83" t="s">
        <v>429</v>
      </c>
      <c r="K123" s="84"/>
      <c r="L123" s="83" t="s">
        <v>429</v>
      </c>
      <c r="M123" s="291"/>
      <c r="N123" s="291"/>
      <c r="O123" s="291"/>
      <c r="P123" s="291"/>
      <c r="Q123" s="291"/>
      <c r="R123" s="84"/>
    </row>
    <row r="124" spans="1:18" ht="15.75" thickBot="1" x14ac:dyDescent="0.3">
      <c r="A124" s="41"/>
      <c r="B124" s="42"/>
      <c r="C124" s="65"/>
      <c r="D124" s="65">
        <v>15</v>
      </c>
      <c r="E124" s="69">
        <v>63.6</v>
      </c>
      <c r="F124" s="70">
        <v>63.6</v>
      </c>
      <c r="G124" s="70">
        <v>65</v>
      </c>
      <c r="H124" s="88">
        <v>65</v>
      </c>
      <c r="I124" s="42"/>
      <c r="J124" s="252">
        <f>IF('BIEG - DANE'!L25&lt;&gt;1.5,ROUNDUP('BIEG - DANE'!L25,0),'BIEG - DANE'!L25)*10</f>
        <v>15</v>
      </c>
      <c r="K124" s="51" t="s">
        <v>338</v>
      </c>
      <c r="L124" s="252">
        <f>IF('BIEG - DANE'!L29&lt;&gt;1.5,ROUNDUP('BIEG - DANE'!L29,0),'BIEG - DANE'!L29)*10</f>
        <v>15</v>
      </c>
      <c r="M124" s="321" t="s">
        <v>338</v>
      </c>
      <c r="N124" s="321"/>
      <c r="O124" s="321"/>
      <c r="P124" s="321"/>
      <c r="Q124" s="321"/>
      <c r="R124" s="51"/>
    </row>
    <row r="125" spans="1:18" x14ac:dyDescent="0.25">
      <c r="A125" s="41"/>
      <c r="B125" s="42"/>
      <c r="C125" s="65"/>
      <c r="D125" s="65">
        <v>20</v>
      </c>
      <c r="E125" s="69">
        <v>62.12</v>
      </c>
      <c r="F125" s="70">
        <v>62.12</v>
      </c>
      <c r="G125" s="70">
        <v>62.12</v>
      </c>
      <c r="H125" s="88">
        <v>62.12</v>
      </c>
      <c r="I125" s="42"/>
      <c r="J125" s="83" t="s">
        <v>430</v>
      </c>
      <c r="K125" s="84"/>
      <c r="L125" s="83" t="s">
        <v>430</v>
      </c>
      <c r="M125" s="291"/>
      <c r="N125" s="291"/>
      <c r="O125" s="291"/>
      <c r="P125" s="291"/>
      <c r="Q125" s="291"/>
      <c r="R125" s="84"/>
    </row>
    <row r="126" spans="1:18" ht="15.75" thickBot="1" x14ac:dyDescent="0.3">
      <c r="A126" s="41"/>
      <c r="B126" s="42"/>
      <c r="C126" s="65"/>
      <c r="D126" s="65">
        <v>30</v>
      </c>
      <c r="E126" s="69">
        <v>56.76</v>
      </c>
      <c r="F126" s="70">
        <v>56.76</v>
      </c>
      <c r="G126" s="70">
        <v>56.76</v>
      </c>
      <c r="H126" s="88">
        <v>56.77</v>
      </c>
      <c r="I126" s="42"/>
      <c r="J126" s="81">
        <f>IF('BIEG - DANE'!E27&lt;20,INDEX(Berechnung_TR_Lauf!E119:H128,MATCH(Berechnung_TR_Lauf!J124,Berechnung_TR_Lauf!C119:C123,0),MATCH(Berechnung_TR_Lauf!J122,Berechnung_TR_Lauf!E118:H118,0)),INDEX(Berechnung_TR_Lauf!E119:H128,MATCH(Berechnung_TR_Lauf!J124,Berechnung_TR_Lauf!D119:D128,0),MATCH(Berechnung_TR_Lauf!J122,Berechnung_TR_Lauf!E118:H118,0)))</f>
        <v>65</v>
      </c>
      <c r="K126" s="51" t="s">
        <v>185</v>
      </c>
      <c r="L126" s="81">
        <f>IF('BIEG - DANE'!E27&lt;20,INDEX(Berechnung_TR_Lauf!E119:H128,MATCH(Berechnung_TR_Lauf!L124,Berechnung_TR_Lauf!C119:C123,0),MATCH(Berechnung_TR_Lauf!L122,Berechnung_TR_Lauf!E118:H118,0)),INDEX(Berechnung_TR_Lauf!E119:H128,MATCH(Berechnung_TR_Lauf!L124,Berechnung_TR_Lauf!D119:D128,0),MATCH(Berechnung_TR_Lauf!L122,Berechnung_TR_Lauf!E118:H118,0)))</f>
        <v>65</v>
      </c>
      <c r="M126" s="322" t="s">
        <v>185</v>
      </c>
      <c r="N126" s="322"/>
      <c r="O126" s="322"/>
      <c r="P126" s="322"/>
      <c r="Q126" s="322"/>
      <c r="R126" s="51"/>
    </row>
    <row r="127" spans="1:18" x14ac:dyDescent="0.25">
      <c r="A127" s="41"/>
      <c r="B127" s="42"/>
      <c r="C127" s="65"/>
      <c r="D127" s="65">
        <v>40</v>
      </c>
      <c r="E127" s="69">
        <v>52.07</v>
      </c>
      <c r="F127" s="70">
        <v>52.07</v>
      </c>
      <c r="G127" s="70">
        <v>52.07</v>
      </c>
      <c r="H127" s="88">
        <v>52.09</v>
      </c>
      <c r="I127" s="42"/>
      <c r="J127" s="83" t="s">
        <v>431</v>
      </c>
      <c r="K127" s="84"/>
      <c r="L127" s="83" t="s">
        <v>431</v>
      </c>
      <c r="M127" s="291"/>
      <c r="N127" s="291"/>
      <c r="O127" s="291"/>
      <c r="P127" s="291"/>
      <c r="Q127" s="291"/>
      <c r="R127" s="84"/>
    </row>
    <row r="128" spans="1:18" ht="15.75" thickBot="1" x14ac:dyDescent="0.3">
      <c r="A128" s="41"/>
      <c r="B128" s="42"/>
      <c r="C128" s="66"/>
      <c r="D128" s="66">
        <v>50</v>
      </c>
      <c r="E128" s="71">
        <v>48.09</v>
      </c>
      <c r="F128" s="72">
        <v>48.09</v>
      </c>
      <c r="G128" s="72">
        <v>48.09</v>
      </c>
      <c r="H128" s="89">
        <v>48.11</v>
      </c>
      <c r="I128" s="42"/>
      <c r="J128" s="102">
        <v>-15</v>
      </c>
      <c r="K128" s="82" t="s">
        <v>185</v>
      </c>
      <c r="L128" s="102">
        <v>-15</v>
      </c>
      <c r="M128" s="292" t="s">
        <v>185</v>
      </c>
      <c r="N128" s="292"/>
      <c r="O128" s="292"/>
      <c r="P128" s="292"/>
      <c r="Q128" s="292"/>
      <c r="R128" s="82"/>
    </row>
    <row r="129" spans="1:18" x14ac:dyDescent="0.25">
      <c r="A129" s="41"/>
      <c r="B129" s="42"/>
      <c r="C129" s="42"/>
      <c r="D129" s="42"/>
      <c r="E129" s="42"/>
      <c r="F129" s="42"/>
      <c r="G129" s="42"/>
      <c r="H129" s="42"/>
      <c r="I129" s="42"/>
      <c r="J129" s="42"/>
      <c r="K129" s="42"/>
      <c r="L129" s="42"/>
      <c r="M129" s="42"/>
      <c r="N129" s="42"/>
      <c r="O129" s="42"/>
      <c r="P129" s="42"/>
      <c r="Q129" s="42"/>
      <c r="R129" s="47"/>
    </row>
    <row r="130" spans="1:18" ht="15.75" thickBot="1" x14ac:dyDescent="0.3">
      <c r="A130" s="255" t="s">
        <v>432</v>
      </c>
      <c r="B130" s="117"/>
      <c r="C130" s="117"/>
      <c r="D130" s="117"/>
      <c r="E130" s="117"/>
      <c r="F130" s="117"/>
      <c r="G130" s="117"/>
      <c r="H130" s="117"/>
      <c r="I130" s="117"/>
      <c r="J130" s="117"/>
      <c r="K130" s="117"/>
      <c r="L130" s="117"/>
      <c r="M130" s="117"/>
      <c r="N130" s="117"/>
      <c r="O130" s="117"/>
      <c r="P130" s="117"/>
      <c r="Q130" s="117"/>
      <c r="R130" s="118"/>
    </row>
    <row r="131" spans="1:18" ht="15.75" thickBot="1" x14ac:dyDescent="0.3">
      <c r="A131" s="109"/>
      <c r="B131" s="93"/>
      <c r="C131" s="224" t="s">
        <v>366</v>
      </c>
      <c r="D131" s="225" t="s">
        <v>378</v>
      </c>
      <c r="E131" s="226" t="s">
        <v>433</v>
      </c>
      <c r="F131" s="226" t="s">
        <v>355</v>
      </c>
      <c r="G131" s="227" t="s">
        <v>43</v>
      </c>
      <c r="H131" s="93"/>
      <c r="I131" s="93"/>
      <c r="J131" s="93"/>
      <c r="K131" s="93"/>
      <c r="L131" s="93"/>
      <c r="M131" s="93"/>
      <c r="N131" s="93"/>
      <c r="O131" s="93"/>
      <c r="P131" s="93"/>
      <c r="Q131" s="93"/>
      <c r="R131" s="110"/>
    </row>
    <row r="132" spans="1:18" x14ac:dyDescent="0.25">
      <c r="A132" s="109"/>
      <c r="B132" s="93"/>
      <c r="C132" s="164" t="s">
        <v>12</v>
      </c>
      <c r="D132" s="228" t="str">
        <f>F91</f>
        <v>V7</v>
      </c>
      <c r="E132" s="229">
        <f>F93</f>
        <v>60.9</v>
      </c>
      <c r="F132" s="229">
        <f>F94</f>
        <v>5.8</v>
      </c>
      <c r="G132" s="230" t="str">
        <f>F95</f>
        <v>C30/37</v>
      </c>
      <c r="H132" s="93"/>
      <c r="I132" s="93"/>
      <c r="J132" s="93"/>
      <c r="K132" s="93"/>
      <c r="L132" s="93"/>
      <c r="M132" s="93"/>
      <c r="N132" s="93"/>
      <c r="O132" s="93"/>
      <c r="P132" s="93"/>
      <c r="Q132" s="93"/>
      <c r="R132" s="110"/>
    </row>
    <row r="133" spans="1:18" x14ac:dyDescent="0.25">
      <c r="A133" s="109"/>
      <c r="B133" s="93"/>
      <c r="C133" s="187" t="s">
        <v>11</v>
      </c>
      <c r="D133" s="220" t="str">
        <f>E69</f>
        <v>V2</v>
      </c>
      <c r="E133" s="231">
        <f>E70</f>
        <v>79.3</v>
      </c>
      <c r="F133" s="231">
        <f>E71</f>
        <v>3.8</v>
      </c>
      <c r="G133" s="221" t="str">
        <f>E72</f>
        <v>C30/37</v>
      </c>
      <c r="H133" s="93"/>
      <c r="I133" s="93"/>
      <c r="J133" s="93"/>
      <c r="K133" s="93"/>
      <c r="L133" s="93"/>
      <c r="M133" s="93"/>
      <c r="N133" s="93"/>
      <c r="O133" s="93"/>
      <c r="P133" s="93"/>
      <c r="Q133" s="93"/>
      <c r="R133" s="110"/>
    </row>
    <row r="134" spans="1:18" x14ac:dyDescent="0.25">
      <c r="A134" s="109"/>
      <c r="B134" s="93"/>
      <c r="C134" s="187" t="s">
        <v>10</v>
      </c>
      <c r="D134" s="220" t="str">
        <f>E69</f>
        <v>V2</v>
      </c>
      <c r="E134" s="231">
        <f>E70</f>
        <v>79.3</v>
      </c>
      <c r="F134" s="231">
        <f>E71</f>
        <v>3.8</v>
      </c>
      <c r="G134" s="221" t="str">
        <f>E72</f>
        <v>C30/37</v>
      </c>
      <c r="H134" s="93"/>
      <c r="I134" s="93"/>
      <c r="J134" s="93"/>
      <c r="K134" s="93"/>
      <c r="L134" s="93"/>
      <c r="M134" s="93"/>
      <c r="N134" s="93"/>
      <c r="O134" s="93"/>
      <c r="P134" s="93"/>
      <c r="Q134" s="93"/>
      <c r="R134" s="110"/>
    </row>
    <row r="135" spans="1:18" x14ac:dyDescent="0.25">
      <c r="A135" s="109"/>
      <c r="B135" s="93"/>
      <c r="C135" s="187" t="s">
        <v>14</v>
      </c>
      <c r="D135" s="220" t="s">
        <v>434</v>
      </c>
      <c r="E135" s="231">
        <f>J126</f>
        <v>65</v>
      </c>
      <c r="F135" s="231">
        <v>0</v>
      </c>
      <c r="G135" s="253" t="str">
        <f>J122</f>
        <v>C30/37</v>
      </c>
      <c r="H135" s="93"/>
      <c r="I135" s="93"/>
      <c r="J135" s="93"/>
      <c r="K135" s="93"/>
      <c r="L135" s="93"/>
      <c r="M135" s="93"/>
      <c r="N135" s="93"/>
      <c r="O135" s="93"/>
      <c r="P135" s="93"/>
      <c r="Q135" s="93"/>
      <c r="R135" s="110"/>
    </row>
    <row r="136" spans="1:18" ht="15.75" thickBot="1" x14ac:dyDescent="0.3">
      <c r="A136" s="109"/>
      <c r="B136" s="93"/>
      <c r="C136" s="169" t="s">
        <v>15</v>
      </c>
      <c r="D136" s="220" t="s">
        <v>434</v>
      </c>
      <c r="E136" s="232">
        <v>75</v>
      </c>
      <c r="F136" s="232">
        <v>0</v>
      </c>
      <c r="G136" s="223" t="s">
        <v>412</v>
      </c>
      <c r="H136" s="93"/>
      <c r="I136" s="93"/>
      <c r="J136" s="93"/>
      <c r="K136" s="93"/>
      <c r="L136" s="93"/>
      <c r="M136" s="93"/>
      <c r="N136" s="93"/>
      <c r="O136" s="93"/>
      <c r="P136" s="93"/>
      <c r="Q136" s="93"/>
      <c r="R136" s="110"/>
    </row>
    <row r="137" spans="1:18" ht="15.75" thickBot="1" x14ac:dyDescent="0.3">
      <c r="A137" s="109"/>
      <c r="B137" s="93"/>
      <c r="C137" s="224" t="s">
        <v>367</v>
      </c>
      <c r="D137" s="225" t="s">
        <v>378</v>
      </c>
      <c r="E137" s="226" t="s">
        <v>433</v>
      </c>
      <c r="F137" s="226" t="s">
        <v>355</v>
      </c>
      <c r="G137" s="227" t="s">
        <v>43</v>
      </c>
      <c r="H137" s="93"/>
      <c r="I137" s="93"/>
      <c r="J137" s="93"/>
      <c r="K137" s="93"/>
      <c r="L137" s="93"/>
      <c r="M137" s="93"/>
      <c r="N137" s="93"/>
      <c r="O137" s="93"/>
      <c r="P137" s="93"/>
      <c r="Q137" s="93"/>
      <c r="R137" s="110"/>
    </row>
    <row r="138" spans="1:18" x14ac:dyDescent="0.25">
      <c r="A138" s="109"/>
      <c r="B138" s="93"/>
      <c r="C138" s="164" t="s">
        <v>12</v>
      </c>
      <c r="D138" s="245" t="str">
        <f>F108</f>
        <v>V7</v>
      </c>
      <c r="E138" s="251">
        <f>F110</f>
        <v>60.9</v>
      </c>
      <c r="F138" s="251">
        <f>F111</f>
        <v>5.8</v>
      </c>
      <c r="G138" s="246" t="str">
        <f>F112</f>
        <v>C30/37</v>
      </c>
      <c r="H138" s="93"/>
      <c r="I138" s="93"/>
      <c r="J138" s="93"/>
      <c r="K138" s="93"/>
      <c r="L138" s="93"/>
      <c r="M138" s="93"/>
      <c r="N138" s="93"/>
      <c r="O138" s="93"/>
      <c r="P138" s="93"/>
      <c r="Q138" s="93"/>
      <c r="R138" s="110"/>
    </row>
    <row r="139" spans="1:18" x14ac:dyDescent="0.25">
      <c r="A139" s="109"/>
      <c r="B139" s="93"/>
      <c r="C139" s="187" t="s">
        <v>11</v>
      </c>
      <c r="D139" s="220" t="str">
        <f>E73</f>
        <v>V2</v>
      </c>
      <c r="E139" s="231">
        <f>E74</f>
        <v>79.3</v>
      </c>
      <c r="F139" s="231">
        <f>E75</f>
        <v>3.8</v>
      </c>
      <c r="G139" s="221" t="str">
        <f>E76</f>
        <v>C30/37</v>
      </c>
      <c r="H139" s="93"/>
      <c r="I139" s="93"/>
      <c r="J139" s="93"/>
      <c r="K139" s="93"/>
      <c r="L139" s="93"/>
      <c r="M139" s="93"/>
      <c r="N139" s="93"/>
      <c r="O139" s="93"/>
      <c r="P139" s="93"/>
      <c r="Q139" s="93"/>
      <c r="R139" s="110"/>
    </row>
    <row r="140" spans="1:18" x14ac:dyDescent="0.25">
      <c r="A140" s="109"/>
      <c r="B140" s="93"/>
      <c r="C140" s="249" t="s">
        <v>14</v>
      </c>
      <c r="D140" s="220" t="s">
        <v>434</v>
      </c>
      <c r="E140" s="250">
        <f>L126</f>
        <v>65</v>
      </c>
      <c r="F140" s="250">
        <v>0</v>
      </c>
      <c r="G140" s="254" t="str">
        <f>L122</f>
        <v>C30/37</v>
      </c>
      <c r="H140" s="93"/>
      <c r="I140" s="93"/>
      <c r="J140" s="93"/>
      <c r="K140" s="93"/>
      <c r="L140" s="93"/>
      <c r="M140" s="93"/>
      <c r="N140" s="93"/>
      <c r="O140" s="93"/>
      <c r="P140" s="93"/>
      <c r="Q140" s="93"/>
      <c r="R140" s="110"/>
    </row>
    <row r="141" spans="1:18" ht="15.75" thickBot="1" x14ac:dyDescent="0.3">
      <c r="A141" s="109"/>
      <c r="B141" s="93"/>
      <c r="C141" s="169" t="s">
        <v>15</v>
      </c>
      <c r="D141" s="222" t="s">
        <v>434</v>
      </c>
      <c r="E141" s="232">
        <v>75</v>
      </c>
      <c r="F141" s="232">
        <v>0</v>
      </c>
      <c r="G141" s="223" t="s">
        <v>412</v>
      </c>
      <c r="H141" s="93"/>
      <c r="I141" s="93"/>
      <c r="J141" s="93"/>
      <c r="K141" s="93"/>
      <c r="L141" s="93"/>
      <c r="M141" s="93"/>
      <c r="N141" s="93"/>
      <c r="O141" s="93"/>
      <c r="P141" s="93"/>
      <c r="Q141" s="93"/>
      <c r="R141" s="110"/>
    </row>
    <row r="142" spans="1:18" ht="15.75" thickBot="1" x14ac:dyDescent="0.3">
      <c r="A142" s="233"/>
      <c r="B142" s="234"/>
      <c r="C142" s="234"/>
      <c r="D142" s="234"/>
      <c r="E142" s="234"/>
      <c r="F142" s="234"/>
      <c r="G142" s="234"/>
      <c r="H142" s="234"/>
      <c r="I142" s="234"/>
      <c r="J142" s="234"/>
      <c r="K142" s="234"/>
      <c r="L142" s="234"/>
      <c r="M142" s="234"/>
      <c r="N142" s="234"/>
      <c r="O142" s="234"/>
      <c r="P142" s="234"/>
      <c r="Q142" s="234"/>
      <c r="R142" s="235"/>
    </row>
  </sheetData>
  <mergeCells count="55">
    <mergeCell ref="C69:C72"/>
    <mergeCell ref="C86:C95"/>
    <mergeCell ref="F93:G93"/>
    <mergeCell ref="F94:G94"/>
    <mergeCell ref="C73:C76"/>
    <mergeCell ref="I9:I10"/>
    <mergeCell ref="I11:I12"/>
    <mergeCell ref="C24:K24"/>
    <mergeCell ref="C25:K25"/>
    <mergeCell ref="F91:G91"/>
    <mergeCell ref="E26:J26"/>
    <mergeCell ref="E44:J44"/>
    <mergeCell ref="C42:K42"/>
    <mergeCell ref="C43:K43"/>
    <mergeCell ref="I79:J79"/>
    <mergeCell ref="C58:E58"/>
    <mergeCell ref="C54:D55"/>
    <mergeCell ref="C56:D57"/>
    <mergeCell ref="K79:L79"/>
    <mergeCell ref="C63:E63"/>
    <mergeCell ref="C64:E64"/>
    <mergeCell ref="C115:H115"/>
    <mergeCell ref="C116:H116"/>
    <mergeCell ref="E117:H117"/>
    <mergeCell ref="L122:R122"/>
    <mergeCell ref="J122:K122"/>
    <mergeCell ref="T79:T80"/>
    <mergeCell ref="U79:U80"/>
    <mergeCell ref="V79:V80"/>
    <mergeCell ref="X79:Y79"/>
    <mergeCell ref="Z79:AA79"/>
    <mergeCell ref="Q79:R79"/>
    <mergeCell ref="C96:C97"/>
    <mergeCell ref="D96:D97"/>
    <mergeCell ref="E96:E97"/>
    <mergeCell ref="G96:H96"/>
    <mergeCell ref="I96:J96"/>
    <mergeCell ref="K96:L96"/>
    <mergeCell ref="O96:P96"/>
    <mergeCell ref="Q96:R96"/>
    <mergeCell ref="F95:G95"/>
    <mergeCell ref="G79:H79"/>
    <mergeCell ref="E79:E80"/>
    <mergeCell ref="D79:D80"/>
    <mergeCell ref="C79:C80"/>
    <mergeCell ref="F92:G92"/>
    <mergeCell ref="F109:G109"/>
    <mergeCell ref="A79:B95"/>
    <mergeCell ref="A96:B112"/>
    <mergeCell ref="O79:P79"/>
    <mergeCell ref="C103:C112"/>
    <mergeCell ref="F108:G108"/>
    <mergeCell ref="F110:G110"/>
    <mergeCell ref="F111:G111"/>
    <mergeCell ref="F112:G112"/>
  </mergeCells>
  <pageMargins left="0.7" right="0.7" top="0.78740157499999996" bottom="0.78740157499999996" header="0.3" footer="0.3"/>
  <pageSetup paperSize="9" orientation="portrait" r:id="rId1"/>
  <customProperties>
    <customPr name="_pios_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11</vt:i4>
      </vt:variant>
    </vt:vector>
  </HeadingPairs>
  <TitlesOfParts>
    <vt:vector size="25" baseType="lpstr">
      <vt:lpstr>Bilder</vt:lpstr>
      <vt:lpstr>Skizzen</vt:lpstr>
      <vt:lpstr>PRZEGLAD</vt:lpstr>
      <vt:lpstr>Texte_Sprachen</vt:lpstr>
      <vt:lpstr>Fehlersuche</vt:lpstr>
      <vt:lpstr>BIEG - DANE</vt:lpstr>
      <vt:lpstr>Eingabekonfig_Treppenlauf</vt:lpstr>
      <vt:lpstr>Lastermittlung_Lauf</vt:lpstr>
      <vt:lpstr>Berechnung_TR_Lauf</vt:lpstr>
      <vt:lpstr>BIEG - WYNIKI OBLICZEN</vt:lpstr>
      <vt:lpstr>SPOCZNIK - DANE</vt:lpstr>
      <vt:lpstr>Lastermittlung_Podest</vt:lpstr>
      <vt:lpstr>Berechnung_Podest</vt:lpstr>
      <vt:lpstr>SPOCZNIK - WYNIKI OBLICZEN</vt:lpstr>
      <vt:lpstr>'BIEG - DANE'!Druckbereich</vt:lpstr>
      <vt:lpstr>'BIEG - WYNIKI OBLICZEN'!Druckbereich</vt:lpstr>
      <vt:lpstr>PRZEGLAD!Druckbereich</vt:lpstr>
      <vt:lpstr>'SPOCZNIK - DANE'!Druckbereich</vt:lpstr>
      <vt:lpstr>'SPOCZNIK - WYNIKI OBLICZEN'!Druckbereich</vt:lpstr>
      <vt:lpstr>Fehler</vt:lpstr>
      <vt:lpstr>Podest</vt:lpstr>
      <vt:lpstr>'BIEG - WYNIKI OBLICZEN'!Print_Area</vt:lpstr>
      <vt:lpstr>'SPOCZNIK - WYNIKI OBLICZEN'!Print_Area</vt:lpstr>
      <vt:lpstr>Treppenlauf</vt:lpstr>
      <vt:lpstr>TreppenlaufStart</vt:lpstr>
    </vt:vector>
  </TitlesOfParts>
  <Manager/>
  <Company>Schoeck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Atitlan Diego Hartmann</dc:creator>
  <cp:keywords/>
  <dc:description/>
  <cp:lastModifiedBy>Tim Badalie</cp:lastModifiedBy>
  <cp:revision/>
  <dcterms:created xsi:type="dcterms:W3CDTF">2017-07-31T07:23:45Z</dcterms:created>
  <dcterms:modified xsi:type="dcterms:W3CDTF">2024-06-19T12:39:08Z</dcterms:modified>
  <cp:category/>
  <cp:contentStatus/>
</cp:coreProperties>
</file>